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16B347A7-B9C3-4524-BE97-55E3FFD0EBED}"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04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F43" i="6" s="1"/>
  <c r="B20" i="6"/>
  <c r="B19" i="6"/>
  <c r="B18" i="6"/>
  <c r="B17" i="6"/>
  <c r="B15" i="6"/>
  <c r="B13" i="6"/>
  <c r="B12" i="6"/>
  <c r="B11" i="6"/>
  <c r="G11" i="6" s="1"/>
  <c r="H11" i="6" s="1"/>
  <c r="B10" i="6"/>
  <c r="B9" i="6"/>
  <c r="B6" i="6"/>
  <c r="B4" i="6"/>
  <c r="G4" i="6" s="1"/>
  <c r="H4" i="6" s="1"/>
  <c r="O30" i="4"/>
  <c r="P54" i="4"/>
  <c r="B90" i="4" s="1"/>
  <c r="A72" i="6" s="1"/>
  <c r="B137" i="4"/>
  <c r="A111" i="6" s="1"/>
  <c r="B135" i="4"/>
  <c r="A110" i="6" s="1"/>
  <c r="B133" i="4"/>
  <c r="A109" i="6" s="1"/>
  <c r="B131" i="4"/>
  <c r="A108" i="6" s="1"/>
  <c r="B120" i="4"/>
  <c r="A98" i="6" s="1"/>
  <c r="B119" i="4"/>
  <c r="A97" i="6" s="1"/>
  <c r="B117" i="4"/>
  <c r="A95" i="6" s="1"/>
  <c r="B115" i="4"/>
  <c r="A94" i="6" s="1"/>
  <c r="B114" i="4"/>
  <c r="A93" i="6" s="1"/>
  <c r="B102" i="4"/>
  <c r="A83" i="6" s="1"/>
  <c r="P53" i="4"/>
  <c r="Q53" i="4" s="1"/>
  <c r="B78" i="4"/>
  <c r="A61" i="6"/>
  <c r="B66" i="4"/>
  <c r="A50" i="6" s="1"/>
  <c r="B54" i="4"/>
  <c r="A39" i="6"/>
  <c r="P42" i="4"/>
  <c r="B42" i="4"/>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14" i="4" s="1"/>
  <c r="B113" i="4"/>
  <c r="H101" i="4"/>
  <c r="S51" i="4"/>
  <c r="T51" i="4"/>
  <c r="U51" i="4"/>
  <c r="V51" i="4"/>
  <c r="W51" i="4"/>
  <c r="X51" i="4"/>
  <c r="Y51" i="4"/>
  <c r="Z51" i="4"/>
  <c r="AA51" i="4" s="1"/>
  <c r="AB51" i="4" s="1"/>
  <c r="AC51" i="4" s="1"/>
  <c r="S50" i="4"/>
  <c r="T50" i="4"/>
  <c r="U50" i="4"/>
  <c r="V50" i="4"/>
  <c r="W50" i="4"/>
  <c r="X50" i="4"/>
  <c r="Y50" i="4" s="1"/>
  <c r="Z50" i="4" s="1"/>
  <c r="S49" i="4"/>
  <c r="T49" i="4"/>
  <c r="U49" i="4"/>
  <c r="V49" i="4"/>
  <c r="W49" i="4"/>
  <c r="X49" i="4" s="1"/>
  <c r="Y49" i="4" s="1"/>
  <c r="Z49" i="4" s="1"/>
  <c r="S48" i="4"/>
  <c r="T48" i="4"/>
  <c r="U48" i="4"/>
  <c r="V48" i="4"/>
  <c r="S47" i="4"/>
  <c r="T47" i="4" s="1"/>
  <c r="U47" i="4" s="1"/>
  <c r="S46" i="4"/>
  <c r="S45" i="4"/>
  <c r="S44" i="4"/>
  <c r="T45" i="4"/>
  <c r="T44" i="4"/>
  <c r="S43" i="4"/>
  <c r="T43" i="4" s="1"/>
  <c r="U43" i="4" s="1"/>
  <c r="S42" i="4"/>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26"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26" i="5"/>
  <c r="V26" i="5"/>
  <c r="E26" i="5"/>
  <c r="X26"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c r="X2504" i="5" s="1"/>
  <c r="F39" i="6"/>
  <c r="F50" i="6" s="1"/>
  <c r="F28" i="6"/>
  <c r="F17" i="6"/>
  <c r="F98" i="6"/>
  <c r="H98" i="6" s="1"/>
  <c r="D98" i="6"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H39" i="6"/>
  <c r="D39" i="6" s="1"/>
  <c r="G33" i="6"/>
  <c r="G32" i="6"/>
  <c r="G31" i="6"/>
  <c r="G30" i="6"/>
  <c r="G29" i="6"/>
  <c r="G28" i="6"/>
  <c r="H28" i="6"/>
  <c r="K114" i="6" s="1"/>
  <c r="G17" i="6"/>
  <c r="H17" i="6" s="1"/>
  <c r="D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26"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C75" i="6" s="1"/>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1" i="13"/>
  <c r="C4" i="8"/>
  <c r="J26" i="5"/>
  <c r="S26" i="5"/>
  <c r="T26"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s="1"/>
  <c r="G13" i="6"/>
  <c r="H13" i="6"/>
  <c r="G5" i="6"/>
  <c r="H5" i="6"/>
  <c r="F6" i="6"/>
  <c r="H6" i="6" s="1"/>
  <c r="G6" i="6"/>
  <c r="G12" i="6"/>
  <c r="H12" i="6"/>
  <c r="H14" i="6"/>
  <c r="G15" i="6"/>
  <c r="H15" i="6" s="1"/>
  <c r="D15" i="6" s="1"/>
  <c r="H16" i="6"/>
  <c r="I4" i="6"/>
  <c r="I5" i="6"/>
  <c r="J5" i="6"/>
  <c r="I6" i="6"/>
  <c r="J6" i="6"/>
  <c r="I9" i="6"/>
  <c r="C9" i="6" s="1"/>
  <c r="J9" i="6"/>
  <c r="I10" i="6"/>
  <c r="C10" i="6" s="1"/>
  <c r="J10" i="6"/>
  <c r="I11" i="6"/>
  <c r="J11" i="6"/>
  <c r="I12" i="6"/>
  <c r="C12" i="6" s="1"/>
  <c r="J12" i="6"/>
  <c r="I13" i="6"/>
  <c r="C13" i="6" s="1"/>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23" i="5"/>
  <c r="X255" i="5"/>
  <c r="X249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12" i="6"/>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115" i="6" s="1"/>
  <c r="B32" i="4"/>
  <c r="A19" i="6"/>
  <c r="F41" i="6"/>
  <c r="F52" i="6" s="1"/>
  <c r="AA15" i="4"/>
  <c r="B33" i="4"/>
  <c r="A20" i="6"/>
  <c r="F42" i="6"/>
  <c r="F18" i="6"/>
  <c r="H18" i="6"/>
  <c r="F19" i="6"/>
  <c r="H19" i="6"/>
  <c r="D19" i="6" s="1"/>
  <c r="F20" i="6"/>
  <c r="H20" i="6"/>
  <c r="O33" i="4"/>
  <c r="P57" i="4"/>
  <c r="B105" i="4" s="1"/>
  <c r="A86" i="6" s="1"/>
  <c r="B123" i="4"/>
  <c r="A101" i="6"/>
  <c r="O32" i="4"/>
  <c r="P56" i="4"/>
  <c r="B80" i="4" s="1"/>
  <c r="A63" i="6" s="1"/>
  <c r="B81" i="4"/>
  <c r="A64" i="6"/>
  <c r="B69" i="4"/>
  <c r="A53" i="6" s="1"/>
  <c r="P45" i="4"/>
  <c r="B45" i="4"/>
  <c r="A31" i="6"/>
  <c r="P44" i="4"/>
  <c r="B44" i="4"/>
  <c r="A30" i="6" s="1"/>
  <c r="D20" i="6"/>
  <c r="A116" i="6"/>
  <c r="F117" i="6"/>
  <c r="A117" i="6"/>
  <c r="H42" i="6"/>
  <c r="D42" i="6" s="1"/>
  <c r="F53" i="6"/>
  <c r="H53" i="6"/>
  <c r="F64" i="6"/>
  <c r="H64" i="6"/>
  <c r="D64" i="6" s="1"/>
  <c r="F75" i="6"/>
  <c r="H75" i="6"/>
  <c r="D75" i="6" s="1"/>
  <c r="F86" i="6"/>
  <c r="H86" i="6" s="1"/>
  <c r="D86" i="6" s="1"/>
  <c r="F101" i="6"/>
  <c r="H101" i="6" s="1"/>
  <c r="D101" i="6" s="1"/>
  <c r="F30" i="6"/>
  <c r="H30" i="6" s="1"/>
  <c r="F31" i="6"/>
  <c r="H31" i="6"/>
  <c r="D31" i="6" s="1"/>
  <c r="K117" i="6"/>
  <c r="D53" i="6"/>
  <c r="F51" i="6"/>
  <c r="F62" i="6"/>
  <c r="F73" i="6" s="1"/>
  <c r="F84" i="6" s="1"/>
  <c r="H84" i="6" s="1"/>
  <c r="F29" i="6"/>
  <c r="H29" i="6" s="1"/>
  <c r="K115" i="6" s="1"/>
  <c r="A115" i="6"/>
  <c r="D18" i="6"/>
  <c r="O31" i="4"/>
  <c r="P43" i="4"/>
  <c r="B43" i="4" s="1"/>
  <c r="A29" i="6" s="1"/>
  <c r="P55" i="4"/>
  <c r="B91" i="4" s="1"/>
  <c r="A73" i="6" s="1"/>
  <c r="AA16" i="4" a="1"/>
  <c r="AA16" i="4"/>
  <c r="A118" i="6"/>
  <c r="AA17" i="4" a="1"/>
  <c r="AA17" i="4"/>
  <c r="A119" i="6"/>
  <c r="B34" i="4"/>
  <c r="A21" i="6"/>
  <c r="F21" i="6"/>
  <c r="O34" i="4"/>
  <c r="P46" i="4"/>
  <c r="B46" i="4" s="1"/>
  <c r="A32" i="6" s="1"/>
  <c r="P58" i="4"/>
  <c r="B82" i="4" s="1"/>
  <c r="A65" i="6" s="1"/>
  <c r="B58" i="4"/>
  <c r="A43" i="6"/>
  <c r="B106" i="4"/>
  <c r="A87" i="6"/>
  <c r="B35" i="4"/>
  <c r="O35" i="4"/>
  <c r="P59" i="4"/>
  <c r="B125" i="4" s="1"/>
  <c r="A103" i="6" s="1"/>
  <c r="B59" i="4"/>
  <c r="A44" i="6" s="1"/>
  <c r="P47" i="4"/>
  <c r="B47" i="4"/>
  <c r="A33" i="6" s="1"/>
  <c r="A22" i="6"/>
  <c r="F22" i="6"/>
  <c r="H22" i="6"/>
  <c r="D22" i="6"/>
  <c r="F33" i="6"/>
  <c r="H33" i="6" s="1"/>
  <c r="F44" i="6"/>
  <c r="H44" i="6" s="1"/>
  <c r="D44"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7" i="4"/>
  <c r="A60" i="6" s="1"/>
  <c r="B75" i="4"/>
  <c r="A59" i="6"/>
  <c r="B63" i="4"/>
  <c r="A48" i="6"/>
  <c r="P51" i="4"/>
  <c r="B51" i="4"/>
  <c r="A37" i="6"/>
  <c r="A26" i="6"/>
  <c r="C20" i="5" l="1"/>
  <c r="C18" i="5"/>
  <c r="C10" i="5"/>
  <c r="C17" i="5"/>
  <c r="C24" i="5"/>
  <c r="C8" i="5"/>
  <c r="C23" i="5"/>
  <c r="C7" i="5"/>
  <c r="C21" i="5"/>
  <c r="H51" i="6"/>
  <c r="D51" i="6" s="1"/>
  <c r="V47" i="4"/>
  <c r="W47" i="4" s="1"/>
  <c r="AA49" i="4"/>
  <c r="AB49" i="4" s="1"/>
  <c r="AA50" i="4"/>
  <c r="AB50" i="4" s="1"/>
  <c r="W48" i="4"/>
  <c r="X48" i="4" s="1"/>
  <c r="T46" i="4"/>
  <c r="B83" i="4"/>
  <c r="A66" i="6" s="1"/>
  <c r="B107" i="4"/>
  <c r="A88" i="6" s="1"/>
  <c r="AC50" i="4"/>
  <c r="AC49" i="4"/>
  <c r="V43" i="4"/>
  <c r="B121" i="4"/>
  <c r="A99" i="6" s="1"/>
  <c r="D29" i="6"/>
  <c r="T42" i="4"/>
  <c r="U42" i="4" s="1"/>
  <c r="V42" i="4" s="1"/>
  <c r="W42" i="4" s="1"/>
  <c r="H62" i="6"/>
  <c r="D62" i="6" s="1"/>
  <c r="D33" i="6"/>
  <c r="K119" i="6"/>
  <c r="B95" i="4"/>
  <c r="A77" i="6" s="1"/>
  <c r="C20" i="6"/>
  <c r="C44" i="6"/>
  <c r="C33" i="6"/>
  <c r="F119" i="6"/>
  <c r="C22" i="6"/>
  <c r="B71" i="4"/>
  <c r="A55" i="6" s="1"/>
  <c r="F103" i="6"/>
  <c r="H103" i="6" s="1"/>
  <c r="D103" i="6" s="1"/>
  <c r="F55" i="6"/>
  <c r="C64" i="6"/>
  <c r="C101" i="6"/>
  <c r="C53" i="6"/>
  <c r="B93" i="4"/>
  <c r="A75" i="6" s="1"/>
  <c r="C31" i="6"/>
  <c r="C86" i="6"/>
  <c r="B57" i="4"/>
  <c r="A42" i="6" s="1"/>
  <c r="C42" i="6"/>
  <c r="H43" i="6"/>
  <c r="D43" i="6" s="1"/>
  <c r="F118" i="6"/>
  <c r="F54" i="6"/>
  <c r="F102" i="6"/>
  <c r="H102" i="6" s="1"/>
  <c r="D102" i="6" s="1"/>
  <c r="B124" i="4"/>
  <c r="A102" i="6" s="1"/>
  <c r="B70" i="4"/>
  <c r="A54" i="6" s="1"/>
  <c r="B94" i="4"/>
  <c r="A76" i="6" s="1"/>
  <c r="G21" i="6"/>
  <c r="H21" i="6" s="1"/>
  <c r="F32" i="6"/>
  <c r="H32" i="6" s="1"/>
  <c r="C43" i="6"/>
  <c r="K116" i="6"/>
  <c r="D30" i="6"/>
  <c r="F63" i="6"/>
  <c r="H52" i="6"/>
  <c r="D52" i="6" s="1"/>
  <c r="H41" i="6"/>
  <c r="D41" i="6" s="1"/>
  <c r="F94" i="6"/>
  <c r="F95" i="6" s="1"/>
  <c r="B68" i="4"/>
  <c r="A52" i="6" s="1"/>
  <c r="B92" i="4"/>
  <c r="A74" i="6" s="1"/>
  <c r="B122" i="4"/>
  <c r="A100" i="6" s="1"/>
  <c r="C19" i="6"/>
  <c r="C30" i="6"/>
  <c r="C52" i="6"/>
  <c r="F100" i="6"/>
  <c r="H100" i="6" s="1"/>
  <c r="F116" i="6"/>
  <c r="B104" i="4"/>
  <c r="A85" i="6" s="1"/>
  <c r="B56" i="4"/>
  <c r="A41" i="6" s="1"/>
  <c r="D84" i="6"/>
  <c r="C84" i="6"/>
  <c r="C51" i="6"/>
  <c r="C29" i="6"/>
  <c r="B79" i="4"/>
  <c r="A62" i="6" s="1"/>
  <c r="H73" i="6"/>
  <c r="B67" i="4"/>
  <c r="A51" i="6" s="1"/>
  <c r="B55" i="4"/>
  <c r="A40" i="6" s="1"/>
  <c r="B103" i="4"/>
  <c r="A84" i="6" s="1"/>
  <c r="H40" i="6"/>
  <c r="F99" i="6"/>
  <c r="H99" i="6" s="1"/>
  <c r="D99" i="6" s="1"/>
  <c r="C98" i="6"/>
  <c r="C28" i="6"/>
  <c r="F61" i="6"/>
  <c r="H50" i="6"/>
  <c r="B89" i="4"/>
  <c r="A71" i="6" s="1"/>
  <c r="B53" i="4"/>
  <c r="A38" i="6" s="1"/>
  <c r="B101" i="4"/>
  <c r="A82" i="6" s="1"/>
  <c r="B65" i="4"/>
  <c r="A49" i="6" s="1"/>
  <c r="D28" i="6"/>
  <c r="C39" i="6"/>
  <c r="C17" i="6"/>
  <c r="F114" i="6"/>
  <c r="C15" i="6"/>
  <c r="C11" i="6"/>
  <c r="D6" i="6"/>
  <c r="C6" i="6"/>
  <c r="C5" i="6"/>
  <c r="C4" i="6"/>
  <c r="D4" i="6"/>
  <c r="G114" i="4"/>
  <c r="D89" i="4"/>
  <c r="G89" i="4"/>
  <c r="D41" i="4"/>
  <c r="D53" i="4"/>
  <c r="D101" i="4"/>
  <c r="G41" i="4"/>
  <c r="G53" i="4"/>
  <c r="G101" i="4"/>
  <c r="D65" i="4"/>
  <c r="G65" i="4"/>
  <c r="D77" i="4"/>
  <c r="C102" i="6" l="1"/>
  <c r="C62" i="6"/>
  <c r="F124" i="6"/>
  <c r="C124" i="6" s="1"/>
  <c r="AB10" i="5"/>
  <c r="V10" i="5"/>
  <c r="AB13" i="5"/>
  <c r="V13" i="5"/>
  <c r="AB24" i="5"/>
  <c r="V24" i="5"/>
  <c r="AB11" i="5"/>
  <c r="V11" i="5"/>
  <c r="AB15" i="5"/>
  <c r="V15" i="5"/>
  <c r="AB8" i="5"/>
  <c r="V8" i="5"/>
  <c r="AB14" i="5"/>
  <c r="V14" i="5"/>
  <c r="V9" i="5"/>
  <c r="AB9" i="5"/>
  <c r="AB21" i="5"/>
  <c r="V21" i="5"/>
  <c r="AB23" i="5"/>
  <c r="V23" i="5"/>
  <c r="G116" i="6"/>
  <c r="H116" i="6" s="1"/>
  <c r="AB22" i="5"/>
  <c r="V22" i="5"/>
  <c r="V7" i="5"/>
  <c r="AB7" i="5"/>
  <c r="V19" i="5"/>
  <c r="AB19" i="5"/>
  <c r="V25" i="5"/>
  <c r="AB25" i="5"/>
  <c r="AB20" i="5"/>
  <c r="V20" i="5"/>
  <c r="V5" i="5"/>
  <c r="AB5" i="5"/>
  <c r="AB6" i="5"/>
  <c r="V6" i="5"/>
  <c r="AB16" i="5"/>
  <c r="V16" i="5"/>
  <c r="V18" i="5"/>
  <c r="AB18" i="5"/>
  <c r="V17" i="5"/>
  <c r="AB17" i="5"/>
  <c r="AB12" i="5"/>
  <c r="V12" i="5"/>
  <c r="X47" i="4"/>
  <c r="Y47" i="4" s="1"/>
  <c r="Z47" i="4" s="1"/>
  <c r="U46" i="4"/>
  <c r="V46" i="4" s="1"/>
  <c r="U45" i="4"/>
  <c r="Y48" i="4"/>
  <c r="Z48" i="4" s="1"/>
  <c r="F109" i="6"/>
  <c r="H109" i="6" s="1"/>
  <c r="D109" i="6" s="1"/>
  <c r="H55" i="6"/>
  <c r="F66" i="6"/>
  <c r="C103" i="6"/>
  <c r="F96" i="6"/>
  <c r="H96" i="6" s="1"/>
  <c r="D96" i="6" s="1"/>
  <c r="H95" i="6"/>
  <c r="D95" i="6" s="1"/>
  <c r="D32" i="6"/>
  <c r="C32" i="6"/>
  <c r="K118" i="6"/>
  <c r="D21" i="6"/>
  <c r="C21" i="6"/>
  <c r="H94" i="6"/>
  <c r="D94" i="6" s="1"/>
  <c r="F111" i="6"/>
  <c r="H111" i="6" s="1"/>
  <c r="D111" i="6" s="1"/>
  <c r="H54" i="6"/>
  <c r="F65" i="6"/>
  <c r="F108" i="6"/>
  <c r="H108" i="6" s="1"/>
  <c r="F110" i="6"/>
  <c r="H110" i="6" s="1"/>
  <c r="D100" i="6"/>
  <c r="C100" i="6"/>
  <c r="F74" i="6"/>
  <c r="H63" i="6"/>
  <c r="C41" i="6"/>
  <c r="C99" i="6"/>
  <c r="D73" i="6"/>
  <c r="C73" i="6"/>
  <c r="C40" i="6"/>
  <c r="D40" i="6"/>
  <c r="C50" i="6"/>
  <c r="D50" i="6"/>
  <c r="F72" i="6"/>
  <c r="H61" i="6"/>
  <c r="B2" i="6"/>
  <c r="G117" i="6" l="1"/>
  <c r="H117" i="6" s="1"/>
  <c r="D117" i="6" s="1"/>
  <c r="G114" i="6"/>
  <c r="H114" i="6" s="1"/>
  <c r="C114" i="6" s="1"/>
  <c r="D116" i="6"/>
  <c r="C116" i="6"/>
  <c r="T6" i="5"/>
  <c r="R6" i="5"/>
  <c r="R25" i="5"/>
  <c r="T25" i="5"/>
  <c r="R11" i="5"/>
  <c r="T11" i="5"/>
  <c r="R18" i="5"/>
  <c r="T16" i="5"/>
  <c r="R16" i="5"/>
  <c r="R5" i="5"/>
  <c r="T5" i="5"/>
  <c r="G119" i="6"/>
  <c r="H119" i="6" s="1"/>
  <c r="R12" i="5"/>
  <c r="T12" i="5"/>
  <c r="R19" i="5"/>
  <c r="T19" i="5"/>
  <c r="R22" i="5"/>
  <c r="T22" i="5"/>
  <c r="R23" i="5"/>
  <c r="R9" i="5"/>
  <c r="T9" i="5"/>
  <c r="R20" i="5"/>
  <c r="R21" i="5"/>
  <c r="R24" i="5"/>
  <c r="R10" i="5"/>
  <c r="G118" i="6"/>
  <c r="H118" i="6" s="1"/>
  <c r="T14" i="5"/>
  <c r="R14" i="5"/>
  <c r="R15" i="5"/>
  <c r="T15" i="5"/>
  <c r="R17" i="5"/>
  <c r="R7" i="5"/>
  <c r="G115" i="6"/>
  <c r="H115" i="6" s="1"/>
  <c r="R8" i="5"/>
  <c r="T13" i="5"/>
  <c r="R13" i="5"/>
  <c r="AA47" i="4"/>
  <c r="AA48" i="4"/>
  <c r="AB48" i="4" s="1"/>
  <c r="AC48" i="4" s="1"/>
  <c r="V45" i="4"/>
  <c r="V44" i="4"/>
  <c r="W46" i="4"/>
  <c r="X46" i="4" s="1"/>
  <c r="Y46" i="4" s="1"/>
  <c r="Z46" i="4" s="1"/>
  <c r="AA46" i="4" s="1"/>
  <c r="W45" i="4"/>
  <c r="D55" i="6"/>
  <c r="C55" i="6"/>
  <c r="C95" i="6"/>
  <c r="C109" i="6"/>
  <c r="F77" i="6"/>
  <c r="H66" i="6"/>
  <c r="C94" i="6"/>
  <c r="C96" i="6"/>
  <c r="C111" i="6"/>
  <c r="H65" i="6"/>
  <c r="F76" i="6"/>
  <c r="D54" i="6"/>
  <c r="C54" i="6"/>
  <c r="D110" i="6"/>
  <c r="C110" i="6"/>
  <c r="C108" i="6"/>
  <c r="D108" i="6"/>
  <c r="D63" i="6"/>
  <c r="C63" i="6"/>
  <c r="H74" i="6"/>
  <c r="F85" i="6"/>
  <c r="H85" i="6" s="1"/>
  <c r="D61" i="6"/>
  <c r="C61" i="6"/>
  <c r="F83" i="6"/>
  <c r="H83" i="6" s="1"/>
  <c r="H72" i="6"/>
  <c r="S5" i="5"/>
  <c r="D114" i="6" l="1"/>
  <c r="C117" i="6"/>
  <c r="X19" i="5"/>
  <c r="S19" i="5"/>
  <c r="X6" i="5"/>
  <c r="X22" i="5"/>
  <c r="X25" i="5"/>
  <c r="X15" i="5"/>
  <c r="X12" i="5"/>
  <c r="X13" i="5"/>
  <c r="X16" i="5"/>
  <c r="X14" i="5"/>
  <c r="X11" i="5"/>
  <c r="X9" i="5"/>
  <c r="X18" i="5"/>
  <c r="X7" i="5"/>
  <c r="X17" i="5"/>
  <c r="X21" i="5"/>
  <c r="G124" i="6" a="1"/>
  <c r="G124" i="6" s="1"/>
  <c r="H124" i="6" s="1"/>
  <c r="D124" i="6" s="1"/>
  <c r="X5" i="5"/>
  <c r="D118" i="6"/>
  <c r="C118" i="6"/>
  <c r="D115" i="6"/>
  <c r="C115" i="6"/>
  <c r="X24" i="5"/>
  <c r="X23" i="5"/>
  <c r="X10" i="5"/>
  <c r="X20" i="5"/>
  <c r="X8" i="5"/>
  <c r="D119" i="6"/>
  <c r="C119" i="6"/>
  <c r="AB47" i="4"/>
  <c r="AC47" i="4" s="1"/>
  <c r="AB46" i="4"/>
  <c r="AC46" i="4" s="1"/>
  <c r="X44" i="4"/>
  <c r="Y44" i="4" s="1"/>
  <c r="X45" i="4"/>
  <c r="Y45" i="4" s="1"/>
  <c r="W44" i="4"/>
  <c r="W43" i="4"/>
  <c r="D66" i="6"/>
  <c r="C66" i="6"/>
  <c r="F88" i="6"/>
  <c r="H88" i="6" s="1"/>
  <c r="H77" i="6"/>
  <c r="D65" i="6"/>
  <c r="C65" i="6"/>
  <c r="F87" i="6"/>
  <c r="H87" i="6" s="1"/>
  <c r="H76" i="6"/>
  <c r="D85" i="6"/>
  <c r="C85" i="6"/>
  <c r="C74" i="6"/>
  <c r="D74" i="6"/>
  <c r="D83" i="6"/>
  <c r="C83" i="6"/>
  <c r="C72" i="6"/>
  <c r="D72" i="6"/>
  <c r="S24" i="5"/>
  <c r="S9" i="5"/>
  <c r="S8" i="5"/>
  <c r="S21" i="5"/>
  <c r="S13" i="5"/>
  <c r="S14" i="5"/>
  <c r="S7" i="5"/>
  <c r="S12" i="5"/>
  <c r="S20" i="5"/>
  <c r="S23" i="5"/>
  <c r="S25" i="5"/>
  <c r="S15" i="5"/>
  <c r="S10" i="5"/>
  <c r="S11" i="5"/>
  <c r="S6" i="5"/>
  <c r="S18" i="5"/>
  <c r="S22" i="5"/>
  <c r="S16" i="5"/>
  <c r="S17" i="5"/>
  <c r="X43" i="4" l="1"/>
  <c r="Y43" i="4" s="1"/>
  <c r="X42" i="4"/>
  <c r="Y42" i="4" s="1"/>
  <c r="Z44" i="4"/>
  <c r="AA44" i="4" s="1"/>
  <c r="Z45" i="4"/>
  <c r="AA45" i="4" s="1"/>
  <c r="D77" i="6"/>
  <c r="C77" i="6"/>
  <c r="H125" i="6"/>
  <c r="D2" i="6" s="1"/>
  <c r="D88" i="6"/>
  <c r="C88" i="6"/>
  <c r="D76" i="6"/>
  <c r="C76" i="6"/>
  <c r="D87" i="6"/>
  <c r="C87" i="6"/>
  <c r="T7" i="5"/>
  <c r="T23" i="5"/>
  <c r="T8" i="5"/>
  <c r="T24" i="5"/>
  <c r="T20" i="5"/>
  <c r="T10" i="5"/>
  <c r="T21" i="5"/>
  <c r="T18" i="5"/>
  <c r="T17" i="5"/>
  <c r="Z42" i="4" l="1"/>
  <c r="AA42" i="4" s="1"/>
  <c r="Z43" i="4"/>
  <c r="AA43" i="4" s="1"/>
  <c r="AB45" i="4"/>
  <c r="AC45" i="4" s="1"/>
  <c r="AB44" i="4"/>
  <c r="AB42" i="4" l="1"/>
  <c r="AC42" i="4" s="1"/>
  <c r="AB43" i="4"/>
  <c r="AC43"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<sst xmlns="http://schemas.openxmlformats.org/spreadsheetml/2006/main" count="28126" uniqueCount="20098">
  <si>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</si>
  <si>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</si>
  <si>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</si>
  <si>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</si>
  <si>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</si>
  <si>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</si>
  <si>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</si>
  <si>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</si>
  <si>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</si>
  <si>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</si>
  <si>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</si>
  <si>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</si>
  <si>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</si>
  <si>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</si>
  <si>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</si>
  <si>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</si>
  <si>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</si>
  <si>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</si>
  <si>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</si>
  <si>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</si>
  <si>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</si>
  <si>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</si>
  <si>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</si>
  <si>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</si>
  <si>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</si>
  <si>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</si>
  <si>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</si>
  <si>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</si>
  <si>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</si>
  <si>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</si>
  <si>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</si>
  <si>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</si>
  <si>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</si>
  <si>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</si>
  <si>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</si>
  <si>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</si>
  <si>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</si>
  <si>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</si>
  <si>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</si>
  <si>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</si>
  <si>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</si>
  <si>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</si>
  <si>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</si>
  <si>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</si>
  <si>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</si>
  <si>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</si>
  <si>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</si>
  <si>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</si>
  <si>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</si>
  <si>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</si>
  <si>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</si>
  <si>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</si>
  <si>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</si>
  <si>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</si>
  <si>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</si>
  <si>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</si>
  <si>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</si>
  <si>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</si>
  <si>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</si>
  <si>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</si>
  <si>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</si>
  <si>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</si>
  <si>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</si>
  <si>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</si>
  <si>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</si>
  <si>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</si>
  <si>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</si>
  <si>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</si>
  <si>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</si>
  <si>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</si>
  <si>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</si>
  <si>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</si>
  <si>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</si>
  <si>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</si>
  <si>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</si>
  <si>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</si>
  <si>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</si>
  <si>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</si>
  <si>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</si>
  <si>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</si>
  <si>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</si>
  <si>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</si>
  <si>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</si>
  <si>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</si>
  <si>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</si>
  <si>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</si>
  <si>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</si>
  <si>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</si>
  <si>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</si>
  <si>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</si>
  <si>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</si>
  <si>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</si>
  <si>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</si>
  <si>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</si>
  <si>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</si>
  <si>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</si>
  <si>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</si>
  <si>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</si>
  <si>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</si>
  <si>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</si>
  <si>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</si>
  <si>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</si>
  <si>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</si>
  <si>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</si>
  <si>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</si>
  <si>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</si>
  <si>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</si>
  <si>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</si>
  <si>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</si>
  <si>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</si>
  <si>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</si>
  <si>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</si>
  <si>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</si>
  <si>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</si>
  <si>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</si>
  <si>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</si>
  <si>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</si>
  <si>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</si>
  <si>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</si>
  <si>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</si>
  <si>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</si>
  <si>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</si>
  <si>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</si>
  <si>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</si>
  <si>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</si>
  <si>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</si>
  <si>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</si>
  <si>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</si>
  <si>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</si>
  <si>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</si>
  <si>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</si>
  <si>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</si>
  <si>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</si>
  <si>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</si>
  <si>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</si>
  <si>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</si>
  <si>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</si>
  <si>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</si>
  <si>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</si>
  <si>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</si>
  <si>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</si>
  <si>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</si>
  <si>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</si>
  <si>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</si>
  <si>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</si>
  <si>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</si>
  <si>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</si>
  <si>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</si>
  <si>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</si>
  <si>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</si>
  <si>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</si>
  <si>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</si>
  <si>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</si>
  <si>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</si>
  <si>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</si>
  <si>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</si>
  <si>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</si>
  <si>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</si>
  <si>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</si>
  <si>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</si>
  <si>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</si>
  <si>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</si>
  <si>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</si>
  <si>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</si>
  <si>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</si>
  <si>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</si>
  <si>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</si>
  <si>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</si>
  <si>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</si>
  <si>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</si>
  <si>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</si>
  <si>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</si>
  <si>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</si>
  <si>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</si>
  <si>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</si>
  <si>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</si>
  <si>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</si>
  <si>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</si>
  <si>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</si>
  <si>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</si>
  <si>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</si>
  <si>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</si>
  <si>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</si>
  <si>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</si>
  <si>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</si>
  <si>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</si>
  <si>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</si>
  <si>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</si>
  <si>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</si>
  <si>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</si>
  <si>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</si>
  <si>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</si>
  <si>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</si>
  <si>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</si>
  <si>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</si>
  <si>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</si>
  <si>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</si>
  <si>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</si>
  <si>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</si>
  <si>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</si>
  <si>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</si>
  <si>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</si>
  <si>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</si>
  <si>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</si>
  <si>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</si>
  <si>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</si>
  <si>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</si>
  <si>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</si>
  <si>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</si>
  <si>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</si>
  <si>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</si>
  <si>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</si>
  <si>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</si>
  <si>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</si>
  <si>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</si>
  <si>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</si>
  <si>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</si>
  <si>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</si>
  <si>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</si>
  <si>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</si>
  <si>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</si>
  <si>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</si>
  <si>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</si>
  <si>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</si>
  <si>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</si>
  <si>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</si>
  <si>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</si>
  <si>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</si>
  <si>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</si>
  <si>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</si>
  <si>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</si>
  <si>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</si>
  <si>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</si>
  <si>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</si>
  <si>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</si>
  <si>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</si>
  <si>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</si>
  <si>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</si>
  <si>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</si>
  <si>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</si>
  <si>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</si>
  <si>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</si>
  <si>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</si>
  <si>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</si>
  <si>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</si>
  <si>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</si>
  <si>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</si>
  <si>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</si>
  <si>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</si>
  <si>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</si>
  <si>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</si>
  <si>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</si>
  <si>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</si>
  <si>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</si>
  <si>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</si>
  <si>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</si>
  <si>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</si>
  <si>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</si>
  <si>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</si>
  <si>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</si>
  <si>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</si>
  <si>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</si>
  <si>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</si>
  <si>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</si>
  <si>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</si>
  <si>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</si>
  <si>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</si>
  <si>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</si>
  <si>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</si>
  <si>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</si>
  <si>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</si>
  <si>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</si>
  <si>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</si>
  <si>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</si>
  <si>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</si>
  <si>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</si>
  <si>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</si>
  <si>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</si>
  <si>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</si>
  <si>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</si>
  <si>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</si>
  <si>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</si>
  <si>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</si>
  <si>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</si>
  <si>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</si>
  <si>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</si>
  <si>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</si>
  <si>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</si>
  <si>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</si>
  <si>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</si>
  <si>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</si>
  <si>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</si>
  <si>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</si>
  <si>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</si>
  <si>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</si>
  <si>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</si>
  <si>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</si>
  <si>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</si>
  <si>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</si>
  <si>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</si>
  <si>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</si>
  <si>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</si>
  <si>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</si>
  <si>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</si>
  <si>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</si>
  <si>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</si>
  <si>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</si>
  <si>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</si>
  <si>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</si>
  <si>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</si>
  <si>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</si>
  <si>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</si>
  <si>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</si>
  <si>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</si>
  <si>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</si>
  <si>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</si>
  <si>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</si>
  <si>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</si>
  <si>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</si>
  <si>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</si>
  <si>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</si>
  <si>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</si>
  <si>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</si>
  <si>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</si>
  <si>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</si>
  <si>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</si>
  <si>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</si>
  <si>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</si>
  <si>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</si>
  <si>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</si>
  <si>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</si>
  <si>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</si>
  <si>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</si>
  <si>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</si>
  <si>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</si>
  <si>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</si>
  <si>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</si>
  <si>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</si>
  <si>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</si>
  <si>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</si>
  <si>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</si>
  <si>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</si>
  <si>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</si>
  <si>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</si>
  <si>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</si>
  <si>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</si>
  <si>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</si>
  <si>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</si>
  <si>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</si>
  <si>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</si>
  <si>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</si>
  <si>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</si>
  <si>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</si>
  <si>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</si>
  <si>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</si>
  <si>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</si>
  <si>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</si>
  <si>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</si>
  <si>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</si>
  <si>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</si>
  <si>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</si>
  <si>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</si>
  <si>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</si>
  <si>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</si>
  <si>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</si>
  <si>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</si>
  <si>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</si>
  <si>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</si>
  <si>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</si>
  <si>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</si>
  <si>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</si>
  <si>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</si>
  <si>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</si>
  <si>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</si>
  <si>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</si>
  <si>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</si>
  <si>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</si>
  <si>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</si>
  <si>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</si>
  <si>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</si>
  <si>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</si>
  <si>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</si>
  <si>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</si>
  <si>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</si>
  <si>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</si>
  <si>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</si>
  <si>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</si>
  <si>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</si>
  <si>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</si>
  <si>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</si>
  <si>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</si>
  <si>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</si>
  <si>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</si>
  <si>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</si>
  <si>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</si>
  <si>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</si>
  <si>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</si>
  <si>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</si>
  <si>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</si>
  <si>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</si>
  <si>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</si>
  <si>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</si>
  <si>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</si>
  <si>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</si>
  <si>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</si>
  <si>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</si>
  <si>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</si>
  <si>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</si>
  <si>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</si>
  <si>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</si>
  <si>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</si>
  <si>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</si>
  <si>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</si>
  <si>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</si>
  <si>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</si>
  <si>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</si>
  <si>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</si>
  <si>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</si>
  <si>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</si>
  <si>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</si>
  <si>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</si>
  <si>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</si>
  <si>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</si>
  <si>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</si>
  <si>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</si>
  <si>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</si>
  <si>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</si>
  <si>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</si>
  <si>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</si>
  <si>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</si>
  <si>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</si>
  <si>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</si>
  <si>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</si>
  <si>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</si>
  <si>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</si>
  <si>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</si>
  <si>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</si>
  <si>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</si>
  <si>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</si>
  <si>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</si>
  <si>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</si>
  <si>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</si>
  <si>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</si>
  <si>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</si>
  <si>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</si>
  <si>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</si>
  <si>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</si>
  <si>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</si>
  <si>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</si>
  <si>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</si>
  <si>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</si>
  <si>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</si>
  <si>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</si>
  <si>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</si>
  <si>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</si>
  <si>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</si>
  <si>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</si>
  <si>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</si>
  <si>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</si>
  <si>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</si>
  <si>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</si>
  <si>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</si>
  <si>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</si>
  <si>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</si>
  <si>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</si>
  <si>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</si>
  <si>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</si>
  <si>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</si>
  <si>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</si>
  <si>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</si>
  <si>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</si>
  <si>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</si>
  <si>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</si>
  <si>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</si>
  <si>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</si>
  <si>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</si>
  <si>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</si>
  <si>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</si>
  <si>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</si>
  <si>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</si>
  <si>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</si>
  <si>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</si>
  <si>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</si>
  <si>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</si>
  <si>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</si>
  <si>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</si>
  <si>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</si>
  <si>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</si>
  <si>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</si>
  <si>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</si>
  <si>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</si>
  <si>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</si>
  <si>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</si>
  <si>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</si>
  <si>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</si>
  <si>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</si>
  <si>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</si>
  <si>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</si>
  <si>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</si>
  <si>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</si>
  <si>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</si>
  <si>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</si>
  <si>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</si>
  <si>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</si>
  <si>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</si>
  <si>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</si>
  <si>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</si>
  <si>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</si>
  <si>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</si>
  <si>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</si>
  <si>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</si>
  <si>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</si>
  <si>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</si>
  <si>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</si>
  <si>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</si>
  <si>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</si>
  <si>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</si>
  <si>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</si>
  <si>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</si>
  <si>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</si>
  <si>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</si>
  <si>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</si>
  <si>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</si>
  <si>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</si>
  <si>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</si>
  <si>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</si>
  <si>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</si>
  <si>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</si>
  <si>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</si>
  <si>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</si>
  <si>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</si>
  <si>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</si>
  <si>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</si>
  <si>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</si>
  <si>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</si>
  <si>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</si>
  <si>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</si>
  <si>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</si>
  <si>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</si>
  <si>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</si>
  <si>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</si>
  <si>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</si>
  <si>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</si>
  <si>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</si>
  <si>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</si>
  <si>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</si>
  <si>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</si>
  <si>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</si>
  <si>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</si>
  <si>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</si>
  <si>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</si>
  <si>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</si>
  <si>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</si>
  <si>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</si>
  <si>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</si>
  <si>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</si>
  <si>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</si>
  <si>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</si>
  <si>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</si>
  <si>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</si>
  <si>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</si>
  <si>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</si>
  <si>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</si>
  <si>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</si>
  <si>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</si>
  <si>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</si>
  <si>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</si>
  <si>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</si>
  <si>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</si>
  <si>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</si>
  <si>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</si>
  <si>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</si>
  <si>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</si>
  <si>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</si>
  <si>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</si>
  <si>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</si>
  <si>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</si>
  <si>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</si>
  <si>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</si>
  <si>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</si>
  <si>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</si>
  <si>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</si>
  <si>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</si>
  <si>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</si>
  <si>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</si>
  <si>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</si>
  <si>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</si>
  <si>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</si>
  <si>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</si>
  <si>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</si>
  <si>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</si>
  <si>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</si>
  <si>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</si>
  <si>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</si>
  <si>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</si>
  <si>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</si>
  <si>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</si>
  <si>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</si>
  <si>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</si>
  <si>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</si>
  <si>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</si>
  <si>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</si>
  <si>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</si>
  <si>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</si>
  <si>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</si>
  <si>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</si>
  <si>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</si>
  <si>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</si>
  <si>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</si>
  <si>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</si>
  <si>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</si>
  <si>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</si>
  <si>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</si>
  <si>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</si>
  <si>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</si>
  <si>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</si>
  <si>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</si>
  <si>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</si>
  <si>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</si>
  <si>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</si>
  <si>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</si>
  <si>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</si>
  <si>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</si>
  <si>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</si>
  <si>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</si>
  <si>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</si>
  <si>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</si>
  <si>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</si>
  <si>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</si>
  <si>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</si>
  <si>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</si>
  <si>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</si>
  <si>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</si>
  <si>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</si>
  <si>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</si>
  <si>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</si>
  <si>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</si>
  <si>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</si>
  <si>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</si>
  <si>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</si>
  <si>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</si>
  <si>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</si>
  <si>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</si>
  <si>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</si>
  <si>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</si>
  <si>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</si>
  <si>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</si>
  <si>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</si>
  <si>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</si>
  <si>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</si>
  <si>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</si>
  <si>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</si>
  <si>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</si>
  <si>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</si>
  <si>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</si>
  <si>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</si>
  <si>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</si>
  <si>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</si>
  <si>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</si>
  <si>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</si>
  <si>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</si>
  <si>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</si>
  <si>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</si>
  <si>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</si>
  <si>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</si>
  <si>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</si>
  <si>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</si>
  <si>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</si>
  <si>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</si>
  <si>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</si>
  <si>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</si>
  <si>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</si>
  <si>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</si>
  <si>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</si>
  <si>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</si>
  <si>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</si>
  <si>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</si>
  <si>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</si>
  <si>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</si>
  <si>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</si>
  <si>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</si>
  <si>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</si>
  <si>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</si>
  <si>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</si>
  <si>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</si>
  <si>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</si>
  <si>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</si>
  <si>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</si>
  <si>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</si>
  <si>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</si>
  <si>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</si>
  <si>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</si>
  <si>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</si>
  <si>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</si>
  <si>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</si>
  <si>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</si>
  <si>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</si>
  <si>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</si>
  <si>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</si>
  <si>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</si>
  <si>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</si>
  <si>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</si>
  <si>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</si>
  <si>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</si>
  <si>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</si>
  <si>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</si>
  <si>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</si>
  <si>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</si>
  <si>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</si>
  <si>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</si>
  <si>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</si>
  <si>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</si>
  <si>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</si>
  <si>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</si>
  <si>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</si>
  <si>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</si>
  <si>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</si>
  <si>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</si>
  <si>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</si>
  <si>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</si>
  <si>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</si>
  <si>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</si>
  <si>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</si>
  <si>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</si>
  <si>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</si>
  <si>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</si>
  <si>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</si>
  <si>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</si>
  <si>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</si>
  <si>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</si>
  <si>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</si>
  <si>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</si>
  <si>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</si>
  <si>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</si>
  <si>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</si>
  <si>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</si>
  <si>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</si>
  <si>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</si>
  <si>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</si>
  <si>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</si>
  <si>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</si>
  <si>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</si>
  <si>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</si>
  <si>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</si>
  <si>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</si>
  <si>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</si>
  <si>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</si>
  <si>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</si>
  <si>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</si>
  <si>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</si>
  <si>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</si>
  <si>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</si>
  <si>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</si>
  <si>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</si>
  <si>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</si>
  <si>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</si>
  <si>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</si>
  <si>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</si>
  <si>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</si>
  <si>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</si>
  <si>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</si>
  <si>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</si>
  <si>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</si>
  <si>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</si>
  <si>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</si>
  <si>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</si>
  <si>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</si>
  <si>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</si>
  <si>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</si>
  <si>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</si>
  <si>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</si>
  <si>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</si>
  <si>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</si>
  <si>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</si>
  <si>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</si>
  <si>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</si>
  <si>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</si>
  <si>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</si>
  <si>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</si>
  <si>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</si>
  <si>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</si>
  <si>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</si>
  <si>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</si>
  <si>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</si>
  <si>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</si>
  <si>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</si>
  <si>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</si>
  <si>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</si>
  <si>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</si>
  <si>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</si>
  <si>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</si>
  <si>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</si>
  <si>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</si>
  <si>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</si>
  <si>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</si>
  <si>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</si>
  <si>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</si>
  <si>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</si>
  <si>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</si>
  <si>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</si>
  <si>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</si>
  <si>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</si>
  <si>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</si>
  <si>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</si>
  <si>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</si>
  <si>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</si>
  <si>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</si>
  <si>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</si>
  <si>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</si>
  <si>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</si>
  <si>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</si>
  <si>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</si>
  <si>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</si>
  <si>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</si>
  <si>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</si>
  <si>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</si>
  <si>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</si>
  <si>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</si>
  <si>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</si>
  <si>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</si>
  <si>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</si>
  <si>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</si>
  <si>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</si>
  <si>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</si>
  <si>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</si>
  <si>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</si>
  <si>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</si>
  <si>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</si>
  <si>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</si>
  <si>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</si>
  <si>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</si>
  <si>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</si>
  <si>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</si>
  <si>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</si>
  <si>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</si>
  <si>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</si>
  <si>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</si>
  <si>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</si>
  <si>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</si>
  <si>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</si>
  <si>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</si>
  <si>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</si>
  <si>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</si>
  <si>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</si>
  <si>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</si>
  <si>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</si>
  <si>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</si>
  <si>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</si>
  <si>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</si>
  <si>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</si>
  <si>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</si>
  <si>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</si>
  <si>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</si>
  <si>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</si>
  <si>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</si>
  <si>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</si>
  <si>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</si>
  <si>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</si>
  <si>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</si>
  <si>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</si>
  <si>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</si>
  <si>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</si>
  <si>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</si>
  <si>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</si>
  <si>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</si>
  <si>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</si>
  <si>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</si>
  <si>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</si>
  <si>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</si>
  <si>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</si>
  <si>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</si>
  <si>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</si>
  <si>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</si>
  <si>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</si>
  <si>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</si>
  <si>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</si>
  <si>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</si>
  <si>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</si>
  <si>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</si>
  <si>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</si>
  <si>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</si>
  <si>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</si>
  <si>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</si>
  <si>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</si>
  <si>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</si>
  <si>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</si>
  <si>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</si>
  <si>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</si>
  <si>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</si>
  <si>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</si>
  <si>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</si>
  <si>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</si>
  <si>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</si>
  <si>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</si>
  <si>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</si>
  <si>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</si>
  <si>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</si>
  <si>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</si>
  <si>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</si>
  <si>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</si>
  <si>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</si>
  <si>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</si>
  <si>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</si>
  <si>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</si>
  <si>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</si>
  <si>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</si>
  <si>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</si>
  <si>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</si>
  <si>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</si>
  <si>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</si>
  <si>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</si>
  <si>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</si>
  <si>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</si>
  <si>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</si>
  <si>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</si>
  <si>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</si>
  <si>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</si>
  <si>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</si>
  <si>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</si>
  <si>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</si>
  <si>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</si>
  <si>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</si>
  <si>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</si>
  <si>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</si>
  <si>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</si>
  <si>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</si>
  <si>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</si>
  <si>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</si>
  <si>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</si>
  <si>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</si>
  <si>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</si>
  <si>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</si>
  <si>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</si>
  <si>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</si>
  <si>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</si>
  <si>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</si>
  <si>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</si>
  <si>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</si>
  <si>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</si>
  <si>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</si>
  <si>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</si>
  <si>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</si>
  <si>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</si>
  <si>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</si>
  <si>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</si>
  <si>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</si>
  <si>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</si>
  <si>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</si>
  <si>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</si>
  <si>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</si>
  <si>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</si>
  <si>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</si>
  <si>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</si>
  <si>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</si>
  <si>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</si>
  <si>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</si>
  <si>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</si>
  <si>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</si>
  <si>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</si>
  <si>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</si>
  <si>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</si>
  <si>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</si>
  <si>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</si>
  <si>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</si>
  <si>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</si>
  <si>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</si>
  <si>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</si>
  <si>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</si>
  <si>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</si>
  <si>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</si>
  <si>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</si>
  <si>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</si>
  <si>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</si>
  <si>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</si>
  <si>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</si>
  <si>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</si>
  <si>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</si>
  <si>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</si>
  <si>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</si>
  <si>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</si>
  <si>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</si>
  <si>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</si>
  <si>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</si>
  <si>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</si>
  <si>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</si>
  <si>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</si>
  <si>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</si>
  <si>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</si>
  <si>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</si>
  <si>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</si>
  <si>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</si>
  <si>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</si>
  <si>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</si>
  <si>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</si>
  <si>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</si>
  <si>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</si>
  <si>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</si>
  <si>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</si>
  <si>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</si>
  <si>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</si>
  <si>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</si>
  <si>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</si>
  <si>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</si>
  <si>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</si>
  <si>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</si>
  <si>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</si>
  <si>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</si>
  <si>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</si>
  <si>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</si>
  <si>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</si>
  <si>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</si>
  <si>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</si>
  <si>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</si>
  <si>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</si>
  <si>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</si>
  <si>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</si>
  <si>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</si>
  <si>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</si>
  <si>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</si>
  <si>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</si>
  <si>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</si>
  <si>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</si>
  <si>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</si>
  <si>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</si>
  <si>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</si>
  <si>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</si>
  <si>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</si>
  <si>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</si>
  <si>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</si>
  <si>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</si>
  <si>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</si>
  <si>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</si>
  <si>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</si>
  <si>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</si>
  <si>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</si>
  <si>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</si>
  <si>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</si>
  <si>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</si>
  <si>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</si>
  <si>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</si>
  <si>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</si>
  <si>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</si>
  <si>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</si>
  <si>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</si>
  <si>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</si>
  <si>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</si>
  <si>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</si>
  <si>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</si>
  <si>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</si>
  <si>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</si>
  <si>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</si>
  <si>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</si>
  <si>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</si>
  <si>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</si>
  <si>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</si>
  <si>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</si>
  <si>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</si>
  <si>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</si>
  <si>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</si>
  <si>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</si>
  <si>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</si>
  <si>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</si>
  <si>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</si>
  <si>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</si>
  <si>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</si>
  <si>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</si>
  <si>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</si>
  <si>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</si>
  <si>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</si>
  <si>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</si>
  <si>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</si>
  <si>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</si>
  <si>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</si>
  <si>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</si>
  <si>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</si>
  <si>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</si>
  <si>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</si>
  <si>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</si>
  <si>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</si>
  <si>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</si>
  <si>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</si>
  <si>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</si>
  <si>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</si>
  <si>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</si>
  <si>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</si>
  <si>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</si>
  <si>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</si>
  <si>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</si>
  <si>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</si>
  <si>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</si>
  <si>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</si>
  <si>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</si>
  <si>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</si>
  <si>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</si>
  <si>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</si>
  <si>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</si>
  <si>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</si>
  <si>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</si>
  <si>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</si>
  <si>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</si>
  <si>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</si>
  <si>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</si>
  <si>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</si>
  <si>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</si>
  <si>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</si>
  <si>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</si>
  <si>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</si>
  <si>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</si>
  <si>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</si>
  <si>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</si>
  <si>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</si>
  <si>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</si>
  <si>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</si>
  <si>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</si>
  <si>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</si>
  <si>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</si>
  <si>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</si>
  <si>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</si>
  <si>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</si>
  <si>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</si>
  <si>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</si>
  <si>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</si>
  <si>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</si>
  <si>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</si>
  <si>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</si>
  <si>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</si>
  <si>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</si>
  <si>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</si>
  <si>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</si>
  <si>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</si>
  <si>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</si>
  <si>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</si>
  <si>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</si>
  <si>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</si>
  <si>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</si>
  <si>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</si>
  <si>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</si>
  <si>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</si>
  <si>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</si>
  <si>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</si>
  <si>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</si>
  <si>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</si>
  <si>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</si>
  <si>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</si>
  <si>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</si>
  <si>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</si>
  <si>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</si>
  <si>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</si>
  <si>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</si>
  <si>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</si>
  <si>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</si>
  <si>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</si>
  <si>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</si>
  <si>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</si>
  <si>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</si>
  <si>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</si>
  <si>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</si>
  <si>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</si>
  <si>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</si>
  <si>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</si>
  <si>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</si>
  <si>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</si>
  <si>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</si>
  <si>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</si>
  <si>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</si>
  <si>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</si>
  <si>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</si>
  <si>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</si>
  <si>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</si>
  <si>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</si>
  <si>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</si>
  <si>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</si>
  <si>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</si>
  <si>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</si>
  <si>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</si>
  <si>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</si>
  <si>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</si>
  <si>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</si>
  <si>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</si>
  <si>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</si>
  <si>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</si>
  <si>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</si>
  <si>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</si>
  <si>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</si>
  <si>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</si>
  <si>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</si>
  <si>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</si>
  <si>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</si>
  <si>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</si>
  <si>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</si>
  <si>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</si>
  <si>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</si>
  <si>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</si>
  <si>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</si>
  <si>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</si>
  <si>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</si>
  <si>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</si>
  <si>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</si>
  <si>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</si>
  <si>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</si>
  <si>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</si>
  <si>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</si>
  <si>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</si>
  <si>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</si>
  <si>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</si>
  <si>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</si>
  <si>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</si>
  <si>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</si>
  <si>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</si>
  <si>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</si>
  <si>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</si>
  <si>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</si>
  <si>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</si>
  <si>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</si>
  <si>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</si>
  <si>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</si>
  <si>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</si>
  <si>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</si>
  <si>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</si>
  <si>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</si>
  <si>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</si>
  <si>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</si>
  <si>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</si>
  <si>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</si>
  <si>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</si>
  <si>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</si>
  <si>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</si>
  <si>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</si>
  <si>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</si>
  <si>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</si>
  <si>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</si>
  <si>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</si>
  <si>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</si>
  <si>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</si>
  <si>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</si>
  <si>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</si>
  <si>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</si>
  <si>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</si>
  <si>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</si>
  <si>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</si>
  <si>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</si>
  <si>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</si>
  <si>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</si>
  <si>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</si>
  <si>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</si>
  <si>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</si>
  <si>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</si>
  <si>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</si>
  <si>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</si>
  <si>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</si>
  <si>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</si>
  <si>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</si>
  <si>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</si>
  <si>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</si>
  <si>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</si>
  <si>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</si>
  <si>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</si>
  <si>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</si>
  <si>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</si>
  <si>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</si>
  <si>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</si>
  <si>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</si>
  <si>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</si>
  <si>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</si>
  <si>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</si>
  <si>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</si>
  <si>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</si>
  <si>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</si>
  <si>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</si>
  <si>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</si>
  <si>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</si>
  <si>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</si>
  <si>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</si>
  <si>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</si>
  <si>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</si>
  <si>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</si>
  <si>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</si>
  <si>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</si>
  <si>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</si>
  <si>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</si>
  <si>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</si>
  <si>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</si>
  <si>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</si>
  <si>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</si>
  <si>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</si>
  <si>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</si>
  <si>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</si>
  <si>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</si>
  <si>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</si>
  <si>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</si>
  <si>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</si>
  <si>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</si>
  <si>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</si>
  <si>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</si>
  <si>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</si>
  <si>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</si>
  <si>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</si>
  <si>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</si>
  <si>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</si>
  <si>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</si>
  <si>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</si>
  <si>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</si>
  <si>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</si>
  <si>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</si>
  <si>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</si>
  <si>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</si>
  <si>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</si>
  <si>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</si>
  <si>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</si>
  <si>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</si>
  <si>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</si>
  <si>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</si>
  <si>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</si>
  <si>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</si>
  <si>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</si>
  <si>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</si>
  <si>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</si>
  <si>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</si>
  <si>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</si>
  <si>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</si>
  <si>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</si>
  <si>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</si>
  <si>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</si>
  <si>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</si>
  <si>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</si>
  <si>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</si>
  <si>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</si>
  <si>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</si>
  <si>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</si>
  <si>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</si>
  <si>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</si>
  <si>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</si>
  <si>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</si>
  <si>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</si>
  <si>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</si>
  <si>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</si>
  <si>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</si>
  <si>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</si>
  <si>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</si>
  <si>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</si>
  <si>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</si>
  <si>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</si>
  <si>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</si>
  <si>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</si>
  <si>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</si>
  <si>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</si>
  <si>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</si>
  <si>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</si>
  <si>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</si>
  <si>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</si>
  <si>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</si>
  <si>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</si>
  <si>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</si>
  <si>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</si>
  <si>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</si>
  <si>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</si>
  <si>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</si>
  <si>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</si>
  <si>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</si>
  <si>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</si>
  <si>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</si>
  <si>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</si>
  <si>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</si>
  <si>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</si>
  <si>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</si>
  <si>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</si>
  <si>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</si>
  <si>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</si>
  <si>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</si>
  <si>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</si>
  <si>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</si>
  <si>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</si>
  <si>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</si>
  <si>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</si>
  <si>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</si>
  <si>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</si>
  <si>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</si>
  <si>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</si>
  <si>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</si>
  <si>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</si>
  <si>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</si>
  <si>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</si>
  <si>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</si>
  <si>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</si>
  <si>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</si>
  <si>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</si>
  <si>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</si>
  <si>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</si>
  <si>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</si>
  <si>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</si>
  <si>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</si>
  <si>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</si>
  <si>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</si>
  <si>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</si>
  <si>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</si>
  <si>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</si>
  <si>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</si>
  <si>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</si>
  <si>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</si>
  <si>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</si>
  <si>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</si>
  <si>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</si>
  <si>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</si>
  <si>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</si>
  <si>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</si>
  <si>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</si>
  <si>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</si>
  <si>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</si>
  <si>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</si>
  <si>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</si>
  <si>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</si>
  <si>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</si>
  <si>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</si>
  <si>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</si>
  <si>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</si>
  <si>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</si>
  <si>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</si>
  <si>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</si>
  <si>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</si>
  <si>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</si>
  <si>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</si>
  <si>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</si>
  <si>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</si>
  <si>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</si>
  <si>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</si>
  <si>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</si>
  <si>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</si>
  <si>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</si>
  <si>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</si>
  <si>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</si>
  <si>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</si>
  <si>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</si>
  <si>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</si>
  <si>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</si>
  <si>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</si>
  <si>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</si>
  <si>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</si>
  <si>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</si>
  <si>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</si>
  <si>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</si>
  <si>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</si>
  <si>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</si>
  <si>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</si>
  <si>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</si>
  <si>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</si>
  <si>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</si>
  <si>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</si>
  <si>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</si>
  <si>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</si>
  <si>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</si>
  <si>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</si>
  <si>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</si>
  <si>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</si>
  <si>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</si>
  <si>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</si>
  <si>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</si>
  <si>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</si>
  <si>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</si>
  <si>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</si>
  <si>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</si>
  <si>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</si>
  <si>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</si>
  <si>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</si>
  <si>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</si>
  <si>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</si>
  <si>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</si>
  <si>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</si>
  <si>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</si>
  <si>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</si>
  <si>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</si>
  <si>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</si>
  <si>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</si>
  <si>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</si>
  <si>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</si>
  <si>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</si>
  <si>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</si>
  <si>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</si>
  <si>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</si>
  <si>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</si>
  <si>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</si>
  <si>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</si>
  <si>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</si>
  <si>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</si>
  <si>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</si>
  <si>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</si>
  <si>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</si>
  <si>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</si>
  <si>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</si>
  <si>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</si>
  <si>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</si>
  <si>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</si>
  <si>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</si>
  <si>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</si>
  <si>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</si>
  <si>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</si>
  <si>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</si>
  <si>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</si>
  <si>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</si>
  <si>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</si>
  <si>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</si>
  <si>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</si>
  <si>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</si>
  <si>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</si>
  <si>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</si>
  <si>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</si>
  <si>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</si>
  <si>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</si>
  <si>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</si>
  <si>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</si>
  <si>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</si>
  <si>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</si>
  <si>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</si>
  <si>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</si>
  <si>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</si>
  <si>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</si>
  <si>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</si>
  <si>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</si>
  <si>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</si>
  <si>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</si>
  <si>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</si>
  <si>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</si>
  <si>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</si>
  <si>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</si>
  <si>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</si>
  <si>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</si>
  <si>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</si>
  <si>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</si>
  <si>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</si>
  <si>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</si>
  <si>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</si>
  <si>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</si>
  <si>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</si>
  <si>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</si>
  <si>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</si>
  <si>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</si>
  <si>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</si>
  <si>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</si>
  <si>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</si>
  <si>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</si>
  <si>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</si>
  <si>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</si>
  <si>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</si>
  <si>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</si>
  <si>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</si>
  <si>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</si>
  <si>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</si>
  <si>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</si>
  <si>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</si>
  <si>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</si>
  <si>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</si>
  <si>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</si>
  <si>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</si>
  <si>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</si>
  <si>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</si>
  <si>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</si>
  <si>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</si>
  <si>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</si>
  <si>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</si>
  <si>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</si>
  <si>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</si>
  <si>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</si>
  <si>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</si>
  <si>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</si>
  <si>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</si>
  <si>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</si>
  <si>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</si>
  <si>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</si>
  <si>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</si>
  <si>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</si>
  <si>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</si>
  <si>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</si>
  <si>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</si>
  <si>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</si>
  <si>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</si>
  <si>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</si>
  <si>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</si>
  <si>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</si>
  <si>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</si>
  <si>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</si>
  <si>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</si>
  <si>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</si>
  <si>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</si>
  <si>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</si>
  <si>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</si>
  <si>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</si>
  <si>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</si>
  <si>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</si>
  <si>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</si>
  <si>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</si>
  <si>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</si>
  <si>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</si>
  <si>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</si>
  <si>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</si>
  <si>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</si>
  <si>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</si>
  <si>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</si>
  <si>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</si>
  <si>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</si>
  <si>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</si>
  <si>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</si>
  <si>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</si>
  <si>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</si>
  <si>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</si>
  <si>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</si>
  <si>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</si>
  <si>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</si>
  <si>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</si>
  <si>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</si>
  <si>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</si>
  <si>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</si>
  <si>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</si>
  <si>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</si>
  <si>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</si>
  <si>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</si>
  <si>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</si>
  <si>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</si>
  <si>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</si>
  <si>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</si>
  <si>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</si>
  <si>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</si>
  <si>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</si>
  <si>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</si>
  <si>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</si>
  <si>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</si>
  <si>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</si>
  <si>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</si>
  <si>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</si>
  <si>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</si>
  <si>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</si>
  <si>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</si>
  <si>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</si>
  <si>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</si>
  <si>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</si>
  <si>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</si>
  <si>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</si>
  <si>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</si>
  <si>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</si>
  <si>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</si>
  <si>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</si>
  <si>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</si>
  <si>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</si>
  <si>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</si>
  <si>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</si>
  <si>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</si>
  <si>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</si>
  <si>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</si>
  <si>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</si>
  <si>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</si>
  <si>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</si>
  <si>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</si>
  <si>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</si>
  <si>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</si>
  <si>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</si>
  <si>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</si>
  <si>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</si>
  <si>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</si>
  <si>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</si>
  <si>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</si>
  <si>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</si>
  <si>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</si>
  <si>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</si>
  <si>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</si>
  <si>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</si>
  <si>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</si>
  <si>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</si>
  <si>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</si>
  <si>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</si>
  <si>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</si>
  <si>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</si>
  <si>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</si>
  <si>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</si>
  <si>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</si>
  <si>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</si>
  <si>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</si>
  <si>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</si>
  <si>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</si>
  <si>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</si>
  <si>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</si>
  <si>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</si>
  <si>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</si>
  <si>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</si>
  <si>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</si>
  <si>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</si>
  <si>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</si>
  <si>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</si>
  <si>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</si>
  <si>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</si>
  <si>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</si>
  <si>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</si>
  <si>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</si>
  <si>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</si>
  <si>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</si>
  <si>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</si>
  <si>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</si>
  <si>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</si>
  <si>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</si>
  <si>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</si>
  <si>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</si>
  <si>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</si>
  <si>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</si>
  <si>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</si>
  <si>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</si>
  <si>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</si>
  <si>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</si>
  <si>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</si>
  <si>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</si>
  <si>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</si>
  <si>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</si>
  <si>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</si>
  <si>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</si>
  <si>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</si>
  <si>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</si>
  <si>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</si>
  <si>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</si>
  <si>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</si>
  <si>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</si>
  <si>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</si>
  <si>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</si>
  <si>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</si>
  <si>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</si>
  <si>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</si>
  <si>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</si>
  <si>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</si>
  <si>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</si>
  <si>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</si>
  <si>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</si>
  <si>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</si>
  <si>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</si>
  <si>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</si>
  <si>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</si>
  <si>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</si>
  <si>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</si>
  <si>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</si>
  <si>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</si>
  <si>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</si>
  <si>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</si>
  <si>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</si>
  <si>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</si>
  <si>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</si>
  <si>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</si>
  <si>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</si>
  <si>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</si>
  <si>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</si>
  <si>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</si>
  <si>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</si>
  <si>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</si>
  <si>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</si>
  <si>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</si>
  <si>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</si>
  <si>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</si>
  <si>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</si>
  <si>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</si>
  <si>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</si>
  <si>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</si>
  <si>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</si>
  <si>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</si>
  <si>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</si>
  <si>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</si>
  <si>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</si>
  <si>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</si>
  <si>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</si>
  <si>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</si>
  <si>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</si>
  <si>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</si>
  <si>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</si>
  <si>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</si>
  <si>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</si>
  <si>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</si>
  <si>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</si>
  <si>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</si>
  <si>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</si>
  <si>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</si>
  <si>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</si>
  <si>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</si>
  <si>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</si>
  <si>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</si>
  <si>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</si>
  <si>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</si>
  <si>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</si>
  <si>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</si>
  <si>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</si>
  <si>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</si>
  <si>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</si>
  <si>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</si>
  <si>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</si>
  <si>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</si>
  <si>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</si>
  <si>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</si>
  <si>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</si>
  <si>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</si>
  <si>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</si>
  <si>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</si>
  <si>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</si>
  <si>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</si>
  <si>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</si>
  <si>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</si>
  <si>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</si>
  <si>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</si>
  <si>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</si>
  <si>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</si>
  <si>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</si>
  <si>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</si>
  <si>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</si>
  <si>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</si>
  <si>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</si>
  <si>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</si>
  <si>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</si>
  <si>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</si>
  <si>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</si>
  <si>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</si>
  <si>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</si>
  <si>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</si>
  <si>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</si>
  <si>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</si>
  <si>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</si>
  <si>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</si>
  <si>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</si>
  <si>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</si>
  <si>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</si>
  <si>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</si>
  <si>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</si>
  <si>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</si>
  <si>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</si>
  <si>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</si>
  <si>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</si>
  <si>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</si>
  <si>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</si>
  <si>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</si>
  <si>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</si>
  <si>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</si>
  <si>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</si>
  <si>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</si>
  <si>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</si>
  <si>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</si>
  <si>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</si>
  <si>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</si>
  <si>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</si>
  <si>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</si>
  <si>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</si>
  <si>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</si>
  <si>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</si>
  <si>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</si>
  <si>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</si>
  <si>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</si>
  <si>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</si>
  <si>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</si>
  <si>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</si>
  <si>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</si>
  <si>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</si>
  <si>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</si>
  <si>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</si>
  <si>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</si>
  <si>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</si>
  <si>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</si>
  <si>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</si>
  <si>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</si>
  <si>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</si>
  <si>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</si>
  <si>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</si>
  <si>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</si>
  <si>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</si>
  <si>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</si>
  <si>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</si>
  <si>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</si>
  <si>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</si>
  <si>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</si>
  <si>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</si>
  <si>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</si>
  <si>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</si>
  <si>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</si>
  <si>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</si>
  <si>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</si>
  <si>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</si>
  <si>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</si>
  <si>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</si>
  <si>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</si>
  <si>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</si>
  <si>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</si>
  <si>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</si>
  <si>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</si>
  <si>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</si>
  <si>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</si>
  <si>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</si>
  <si>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</si>
  <si>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</si>
  <si>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</si>
  <si>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</si>
  <si>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</si>
  <si>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</si>
  <si>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</si>
  <si>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</si>
  <si>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</si>
  <si>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</si>
  <si>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</si>
  <si>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</si>
  <si>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</si>
  <si>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</si>
  <si>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</si>
  <si>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</si>
  <si>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</si>
  <si>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</si>
  <si>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</si>
  <si>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</si>
  <si>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</si>
  <si>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</si>
  <si>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</si>
  <si>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</si>
  <si>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</si>
  <si>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</si>
  <si>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</si>
  <si>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</si>
  <si>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</si>
  <si>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</si>
  <si>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</si>
  <si>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</si>
  <si>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</si>
  <si>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</si>
  <si>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</si>
  <si>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</si>
  <si>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</si>
  <si>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</si>
  <si>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</si>
  <si>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</si>
  <si>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</si>
  <si>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</si>
  <si>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</si>
  <si>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</si>
  <si>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</si>
  <si>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</si>
  <si>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</si>
  <si>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</si>
  <si>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</si>
  <si>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</si>
  <si>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</si>
  <si>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</si>
  <si>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</si>
  <si>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</si>
  <si>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</si>
  <si>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</si>
  <si>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</si>
  <si>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</si>
  <si>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</si>
  <si>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</si>
  <si>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</si>
  <si>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</si>
  <si>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</si>
  <si>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</si>
  <si>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</si>
  <si>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</si>
  <si>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</si>
  <si>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</si>
  <si>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</si>
  <si>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</si>
  <si>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</si>
  <si>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</si>
  <si>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</si>
  <si>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</si>
  <si>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</si>
  <si>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</si>
  <si>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</si>
  <si>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</si>
  <si>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</si>
  <si>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</si>
  <si>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</si>
  <si>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</si>
  <si>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</si>
  <si>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</si>
  <si>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</si>
  <si>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</si>
  <si>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</si>
  <si>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</si>
  <si>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</si>
  <si>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</si>
  <si>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</si>
  <si>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</si>
  <si>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</si>
  <si>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</si>
  <si>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</si>
  <si>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</si>
  <si>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</si>
  <si>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</si>
  <si>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</si>
  <si>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</si>
  <si>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</si>
  <si>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</si>
  <si>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</si>
  <si>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</si>
  <si>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</si>
  <si>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</si>
  <si>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</si>
  <si>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</si>
  <si>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</si>
  <si>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</si>
  <si>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</si>
  <si>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</si>
  <si>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</si>
  <si>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</si>
  <si>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</si>
  <si>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</si>
  <si>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</si>
  <si>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</si>
  <si>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</si>
  <si>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</si>
  <si>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</si>
  <si>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</si>
  <si>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</si>
  <si>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</si>
  <si>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</si>
  <si>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</si>
  <si>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</si>
  <si>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</si>
  <si>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</si>
  <si>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</si>
  <si>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</si>
  <si>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</si>
  <si>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</si>
  <si>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</si>
  <si>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</si>
  <si>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</si>
  <si>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</si>
  <si>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</si>
  <si>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</si>
  <si>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</si>
  <si>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</si>
  <si>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</si>
  <si>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</si>
  <si>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</si>
  <si>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</si>
  <si>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</si>
  <si>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</si>
  <si>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</si>
  <si>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</si>
  <si>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</si>
  <si>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</si>
  <si>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</si>
  <si>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</si>
  <si>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</si>
  <si>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</si>
  <si>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</si>
  <si>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</si>
  <si>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</si>
  <si>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</si>
  <si>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</si>
  <si>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</si>
  <si>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</si>
  <si>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</si>
  <si>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</si>
  <si>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</si>
  <si>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</si>
  <si>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</si>
  <si>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</si>
  <si>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</si>
  <si>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</si>
  <si>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</si>
  <si>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</si>
  <si>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</si>
  <si>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</si>
  <si>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</si>
  <si>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</si>
  <si>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</si>
  <si>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</si>
  <si>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</si>
  <si>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</si>
  <si>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</si>
  <si>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</si>
  <si>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</si>
  <si>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</si>
  <si>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</si>
  <si>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</si>
  <si>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</si>
  <si>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</si>
  <si>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</si>
  <si>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</si>
  <si>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</si>
  <si>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</si>
  <si>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</si>
  <si>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</si>
  <si>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</si>
  <si>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</si>
  <si>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</si>
  <si>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</si>
  <si>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</si>
  <si>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</si>
  <si>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</si>
  <si>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</si>
  <si>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</si>
  <si>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</si>
  <si>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</si>
  <si>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</si>
  <si>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</si>
  <si>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</si>
  <si>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</si>
  <si>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</si>
  <si>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</si>
  <si>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</si>
  <si>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</si>
  <si>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</si>
  <si>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</si>
  <si>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</si>
  <si>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</si>
  <si>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</si>
  <si>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</si>
  <si>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</si>
  <si>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</si>
  <si>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</si>
  <si>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</si>
  <si>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</si>
  <si>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</si>
  <si>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</si>
  <si>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</si>
  <si>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</si>
  <si>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</si>
  <si>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</si>
  <si>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</si>
  <si>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</si>
  <si>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</si>
  <si>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</si>
  <si>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</si>
  <si>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</si>
  <si>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</si>
  <si>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</si>
  <si>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</si>
  <si>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</si>
  <si>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</si>
  <si>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</si>
  <si>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</si>
  <si>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</si>
  <si>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</si>
  <si>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</si>
  <si>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</si>
  <si>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</si>
  <si>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</si>
  <si>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</si>
  <si>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</si>
  <si>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</si>
  <si>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</si>
  <si>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</si>
  <si>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</si>
  <si>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</si>
  <si>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</si>
  <si>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</si>
  <si>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</si>
  <si>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</si>
  <si>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</si>
  <si>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</si>
  <si>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</si>
  <si>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</si>
  <si>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</si>
  <si>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</si>
  <si>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</si>
  <si>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</si>
  <si>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</si>
  <si>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</si>
  <si>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</si>
  <si>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</si>
  <si>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</si>
  <si>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</si>
  <si>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</si>
  <si>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</si>
  <si>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</si>
  <si>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</si>
  <si>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</si>
  <si>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</si>
  <si>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</si>
  <si>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</si>
  <si>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</si>
  <si>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</si>
  <si>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</si>
  <si>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</si>
  <si>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</si>
  <si>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</si>
  <si>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</si>
  <si>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</si>
  <si>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</si>
  <si>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</si>
  <si>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</si>
  <si>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</si>
  <si>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</si>
  <si>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</si>
  <si>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</si>
  <si>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</si>
  <si>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</si>
  <si>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</si>
  <si>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</si>
  <si>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</si>
  <si>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</si>
  <si>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</si>
  <si>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</si>
  <si>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</si>
  <si>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</si>
  <si>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</si>
  <si>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</si>
  <si>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</si>
  <si>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</si>
  <si>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</si>
  <si>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</si>
  <si>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</si>
  <si>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</si>
  <si>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</si>
  <si>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</si>
  <si>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</si>
  <si>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</si>
  <si>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</si>
  <si>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</si>
  <si>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</si>
  <si>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</si>
  <si>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</si>
  <si>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</si>
  <si>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</si>
  <si>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</si>
  <si>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</si>
  <si>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</si>
  <si>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</si>
  <si>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</si>
  <si>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</si>
  <si>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</si>
  <si>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</si>
  <si>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</si>
  <si>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</si>
  <si>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</si>
  <si>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</si>
  <si>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</si>
  <si>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</si>
  <si>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</si>
  <si>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</si>
  <si>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</si>
  <si>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</si>
  <si>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</si>
  <si>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</si>
  <si>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</si>
  <si>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</si>
  <si>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</si>
  <si>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</si>
  <si>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</si>
  <si>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</si>
  <si>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</si>
  <si>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</si>
  <si>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</si>
  <si>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</si>
  <si>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</si>
  <si>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</si>
  <si>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</si>
  <si>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</si>
  <si>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</si>
  <si>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</si>
  <si>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</si>
  <si>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</si>
  <si>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</si>
  <si>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</si>
  <si>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</si>
  <si>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</si>
  <si>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</si>
  <si>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</si>
  <si>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</si>
  <si>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</si>
  <si>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</si>
  <si>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</si>
  <si>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</si>
  <si>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</si>
  <si>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</si>
  <si>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</si>
  <si>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</si>
  <si>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</si>
  <si>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</si>
  <si>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</si>
  <si>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</si>
  <si>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</si>
  <si>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</si>
  <si>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</si>
  <si>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</si>
  <si>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</si>
  <si>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</si>
  <si>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</si>
  <si>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</si>
  <si>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</si>
  <si>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</si>
  <si>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</si>
  <si>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</si>
  <si>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</si>
  <si>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</si>
  <si>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</si>
  <si>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</si>
  <si>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</si>
  <si>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</si>
  <si>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</si>
  <si>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</si>
  <si>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</si>
  <si>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</si>
  <si>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</si>
  <si>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</si>
  <si>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</si>
  <si>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</si>
  <si>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</si>
  <si>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</si>
  <si>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</si>
  <si>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</si>
  <si>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</si>
  <si>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</si>
  <si>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</si>
  <si>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</si>
  <si>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</si>
  <si>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</si>
  <si>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</si>
  <si>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</si>
  <si>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</si>
  <si>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</si>
  <si>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</si>
  <si>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</si>
  <si>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</si>
  <si>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</si>
  <si>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</si>
  <si>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</si>
  <si>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</si>
  <si>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</si>
  <si>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</si>
  <si>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</si>
  <si>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</si>
  <si>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</si>
  <si>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</si>
  <si>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</si>
  <si>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</si>
  <si>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</si>
  <si>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</si>
  <si>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</si>
  <si>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</si>
  <si>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</si>
  <si>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</si>
  <si>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</si>
  <si>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</si>
  <si>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</si>
  <si>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</si>
  <si>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</si>
  <si>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</si>
  <si>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</si>
  <si>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</si>
  <si>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</si>
  <si>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</si>
  <si>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</si>
  <si>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</si>
  <si>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</si>
  <si>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</si>
  <si>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</si>
  <si>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</si>
  <si>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</si>
  <si>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</si>
  <si>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</si>
  <si>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</si>
  <si>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</si>
  <si>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</si>
  <si>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</si>
  <si>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</si>
  <si>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</si>
  <si>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</si>
  <si>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</si>
  <si>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</si>
  <si>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</si>
  <si>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</si>
  <si>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</si>
  <si>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</si>
  <si>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</si>
  <si>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</si>
  <si>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</si>
  <si>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</si>
  <si>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</si>
  <si>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</si>
  <si>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</si>
  <si>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</si>
  <si>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</si>
  <si>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</si>
  <si>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</si>
  <si>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</si>
  <si>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</si>
  <si>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</si>
  <si>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</si>
  <si>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</si>
  <si>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</si>
  <si>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</si>
  <si>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</si>
  <si>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</si>
  <si>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</si>
  <si>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</si>
  <si>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</si>
  <si>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</si>
  <si>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</si>
  <si>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</si>
  <si>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</si>
  <si>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</si>
  <si>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</si>
  <si>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</si>
  <si>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</si>
  <si>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</si>
  <si>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</si>
  <si>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</si>
  <si>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</si>
  <si>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</si>
  <si>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</si>
  <si>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</si>
  <si>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</si>
  <si>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</si>
  <si>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</si>
  <si>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</si>
  <si>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</si>
  <si>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</si>
  <si>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</si>
  <si>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</si>
  <si>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</si>
  <si>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</si>
  <si>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</si>
  <si>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</si>
  <si>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</si>
  <si>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</si>
  <si>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</si>
  <si>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</si>
  <si>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</si>
  <si>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</si>
  <si>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</si>
  <si>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</si>
  <si>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</si>
  <si>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</si>
  <si>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</si>
  <si>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</si>
  <si>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</si>
  <si>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</si>
  <si>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</si>
  <si>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</si>
  <si>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</si>
  <si>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</si>
  <si>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</si>
  <si>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</si>
  <si>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</si>
  <si>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</si>
  <si>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</si>
  <si>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</si>
  <si>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</si>
  <si>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</si>
  <si>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</si>
  <si>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</si>
  <si>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</si>
  <si>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</si>
  <si>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</si>
  <si>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</si>
  <si>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</si>
  <si>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</si>
  <si>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</si>
  <si>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</si>
  <si>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</si>
  <si>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</si>
  <si>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</si>
  <si>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</si>
  <si>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</si>
  <si>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</si>
  <si>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</si>
  <si>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</si>
  <si>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</si>
  <si>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</si>
  <si>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</si>
  <si>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</si>
  <si>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</si>
  <si>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</si>
  <si>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</si>
  <si>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</si>
  <si>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</si>
  <si>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</si>
  <si>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</si>
  <si>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</si>
  <si>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</si>
  <si>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</si>
  <si>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</si>
  <si>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</si>
  <si>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</si>
  <si>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</si>
  <si>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</si>
  <si>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</si>
  <si>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</si>
  <si>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</si>
  <si>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</si>
  <si>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</si>
  <si>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</si>
  <si>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</si>
  <si>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</si>
  <si>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</si>
  <si>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</si>
  <si>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</si>
  <si>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</si>
  <si>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</si>
  <si>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</si>
  <si>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</si>
  <si>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</si>
  <si>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</si>
  <si>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</si>
  <si>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</si>
  <si>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</si>
  <si>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</si>
  <si>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</si>
  <si>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</si>
  <si>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</si>
  <si>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</si>
  <si>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</si>
  <si>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</si>
  <si>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</si>
  <si>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</si>
  <si>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</si>
  <si>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</si>
  <si>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</si>
  <si>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</si>
  <si>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</si>
  <si>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</si>
  <si>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</si>
  <si>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</si>
  <si>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</si>
  <si>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</si>
  <si>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</si>
  <si>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</si>
  <si>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</si>
  <si>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</si>
  <si>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</si>
  <si>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</si>
  <si>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</si>
  <si>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</si>
  <si>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</si>
  <si>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</si>
  <si>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</si>
  <si>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</si>
  <si>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</si>
  <si>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</si>
  <si>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</si>
  <si>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</si>
  <si>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</si>
  <si>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</si>
  <si>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</si>
  <si>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</si>
  <si>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</si>
  <si>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</si>
  <si>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</si>
  <si>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</si>
  <si>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</si>
  <si>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</si>
  <si>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</si>
  <si>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</si>
  <si>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</si>
  <si>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</si>
  <si>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</si>
  <si>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</si>
  <si>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</si>
  <si>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</si>
  <si>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</si>
  <si>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</si>
  <si>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</si>
  <si>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</si>
  <si>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</si>
  <si>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</si>
  <si>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</si>
  <si>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</si>
  <si>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</si>
  <si>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</si>
  <si>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</si>
  <si>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</si>
  <si>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</si>
  <si>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</si>
  <si>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</si>
  <si>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</si>
  <si>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</si>
  <si>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</si>
  <si>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</si>
  <si>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</si>
  <si>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</si>
  <si>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</si>
  <si>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</si>
  <si>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</si>
  <si>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</si>
  <si>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</si>
  <si>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</si>
  <si>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</si>
  <si>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</si>
  <si>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</si>
  <si>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</si>
  <si>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</si>
  <si>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</si>
  <si>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</si>
  <si>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</si>
  <si>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</si>
  <si>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</si>
  <si>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</si>
  <si>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</si>
  <si>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</si>
  <si>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</si>
  <si>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</si>
  <si>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</si>
  <si>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</si>
  <si>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</si>
  <si>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</si>
  <si>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</si>
  <si>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</si>
  <si>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</si>
  <si>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</si>
  <si>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</si>
  <si>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</si>
  <si>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</si>
  <si>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</si>
  <si>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</si>
  <si>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</si>
  <si>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</si>
  <si>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</si>
  <si>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</si>
  <si>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</si>
  <si>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</si>
  <si>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</si>
  <si>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</si>
  <si>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</si>
  <si>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</si>
  <si>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</si>
  <si>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</si>
  <si>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</si>
  <si>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</si>
  <si>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</si>
  <si>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</si>
  <si>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</si>
  <si>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</si>
  <si>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</si>
  <si>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</si>
  <si>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</si>
  <si>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</si>
  <si>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</si>
  <si>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</si>
  <si>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</si>
  <si>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</si>
  <si>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</si>
  <si>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</si>
  <si>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</si>
  <si>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</si>
  <si>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</si>
  <si>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</si>
  <si>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</si>
  <si>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</si>
  <si>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</si>
  <si>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</si>
  <si>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</si>
  <si>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</si>
  <si>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</si>
  <si>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</si>
  <si>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</si>
  <si>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</si>
  <si>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</si>
  <si>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</si>
  <si>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</si>
  <si>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</si>
  <si>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</si>
  <si>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</si>
  <si>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</si>
  <si>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</si>
  <si>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</si>
  <si>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</si>
  <si>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</si>
  <si>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</si>
  <si>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</si>
  <si>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</si>
  <si>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</si>
  <si>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</si>
  <si>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</si>
  <si>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</si>
  <si>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</si>
  <si>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</si>
  <si>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</si>
  <si>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</si>
  <si>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</si>
  <si>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</si>
  <si>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</si>
  <si>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</si>
  <si>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</si>
  <si>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</si>
  <si>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</si>
  <si>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</si>
  <si>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</si>
  <si>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</si>
  <si>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</si>
  <si>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</si>
  <si>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</si>
  <si>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</si>
  <si>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</si>
  <si>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</si>
  <si>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</si>
  <si>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</si>
  <si>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</si>
  <si>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</si>
  <si>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</si>
  <si>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</si>
  <si>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</si>
  <si>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</si>
  <si>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</si>
  <si>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</si>
  <si>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</si>
  <si>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</si>
  <si>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</si>
  <si>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</si>
  <si>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</si>
  <si>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</si>
  <si>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</si>
  <si>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</si>
  <si>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</si>
  <si>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</si>
  <si>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</si>
  <si>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</si>
  <si>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</si>
  <si>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</si>
  <si>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</si>
  <si>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</si>
  <si>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</si>
  <si>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</si>
  <si>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</si>
  <si>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</si>
  <si>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</si>
  <si>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</si>
  <si>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</si>
  <si>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</si>
  <si>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</si>
  <si>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</si>
  <si>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</si>
  <si>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</si>
  <si>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</si>
  <si>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</si>
  <si>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</si>
  <si>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</si>
  <si>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</si>
  <si>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</si>
  <si>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</si>
  <si>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</si>
  <si>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</si>
  <si>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</si>
  <si>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</si>
  <si>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</si>
  <si>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</si>
  <si>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</si>
  <si>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</si>
  <si>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</si>
  <si>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</si>
  <si>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</si>
  <si>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</si>
  <si>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</si>
  <si>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</si>
  <si>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</si>
  <si>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</si>
  <si>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</si>
  <si>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</si>
  <si>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</si>
  <si>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</si>
  <si>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</si>
  <si>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</si>
  <si>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</si>
  <si>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</si>
  <si>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</si>
  <si>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</si>
  <si>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</si>
  <si>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</si>
  <si>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</si>
  <si>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</si>
  <si>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</si>
  <si>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</si>
  <si>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</si>
  <si>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</si>
  <si>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</si>
  <si>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</si>
  <si>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</si>
  <si>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</si>
  <si>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</si>
  <si>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</si>
  <si>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</si>
  <si>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</si>
  <si>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</si>
  <si>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</si>
  <si>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</si>
  <si>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</si>
  <si>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</si>
  <si>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</si>
  <si>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</si>
  <si>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</si>
  <si>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</si>
  <si>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</si>
  <si>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</si>
  <si>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</si>
  <si>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</si>
  <si>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</si>
  <si>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</si>
  <si>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</si>
  <si>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</si>
  <si>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</si>
  <si>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</si>
  <si>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</si>
  <si>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</si>
  <si>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</si>
  <si>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</si>
  <si>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</si>
  <si>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</si>
  <si>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</si>
  <si>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</si>
  <si>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</si>
  <si>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</si>
  <si>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</si>
  <si>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</si>
  <si>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</si>
  <si>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</si>
  <si>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</si>
  <si>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</si>
  <si>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</si>
  <si>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</si>
  <si>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</si>
  <si>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</si>
  <si>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</si>
  <si>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</si>
  <si>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</si>
  <si>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</si>
  <si>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</si>
  <si>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</si>
  <si>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</si>
  <si>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</si>
  <si>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</si>
  <si>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</si>
  <si>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</si>
  <si>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</si>
  <si>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</si>
  <si>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</si>
  <si>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</si>
  <si>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</si>
  <si>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</si>
  <si>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</si>
  <si>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</si>
  <si>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</si>
  <si>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</si>
  <si>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</si>
  <si>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</si>
  <si>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</si>
  <si>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</si>
  <si>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</si>
  <si>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</si>
  <si>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</si>
  <si>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</si>
  <si>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</si>
  <si>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</si>
  <si>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</si>
  <si>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</si>
  <si>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</si>
  <si>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</si>
  <si>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</si>
  <si>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</si>
  <si>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</si>
  <si>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</si>
  <si>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</si>
  <si>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</si>
  <si>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</si>
  <si>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</si>
  <si>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</si>
  <si>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</si>
  <si>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</si>
  <si>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</si>
  <si>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</si>
  <si>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</si>
  <si>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</si>
  <si>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</si>
  <si>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</si>
  <si>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</si>
  <si>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</si>
  <si>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</si>
  <si>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</si>
  <si>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</si>
  <si>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</si>
  <si>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</si>
  <si>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</si>
  <si>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</si>
  <si>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</si>
  <si>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</si>
  <si>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</si>
  <si>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</si>
  <si>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</si>
  <si>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</si>
  <si>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</si>
  <si>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</si>
  <si>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</si>
  <si>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</si>
  <si>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</si>
  <si>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</si>
  <si>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</si>
  <si>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</si>
  <si>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</si>
  <si>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</si>
  <si>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</si>
  <si>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</si>
  <si>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</si>
  <si>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</si>
  <si>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</si>
  <si>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</si>
  <si>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</si>
  <si>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</si>
  <si>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</si>
  <si>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</si>
  <si>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</si>
  <si>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</si>
  <si>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</si>
  <si>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</si>
  <si>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</si>
  <si>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</si>
  <si>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</si>
  <si>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</si>
  <si>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</si>
  <si>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</si>
  <si>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</si>
  <si>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</si>
  <si>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</si>
  <si>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</si>
  <si>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</si>
  <si>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</si>
  <si>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</si>
  <si>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</si>
  <si>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</si>
  <si>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</si>
  <si>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</si>
  <si>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</si>
  <si>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</si>
  <si>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</si>
  <si>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</si>
  <si>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</si>
  <si>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</si>
  <si>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</si>
  <si>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</si>
  <si>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</si>
  <si>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</si>
  <si>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</si>
  <si>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</si>
  <si>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</si>
  <si>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</si>
  <si>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</si>
  <si>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</si>
  <si>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</si>
  <si>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</si>
  <si>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</si>
  <si>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</si>
  <si>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</si>
  <si>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</si>
  <si>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</si>
  <si>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</si>
  <si>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</si>
  <si>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</si>
  <si>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</si>
  <si>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</si>
  <si>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</si>
  <si>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</si>
  <si>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</si>
  <si>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</si>
  <si>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</si>
  <si>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</si>
  <si>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</si>
  <si>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</si>
  <si>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</si>
  <si>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</si>
  <si>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</si>
  <si>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</si>
  <si>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</si>
  <si>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</si>
  <si>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</si>
  <si>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</si>
  <si>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</si>
  <si>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</si>
  <si>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</si>
  <si>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</si>
  <si>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</si>
  <si>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</si>
  <si>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</si>
  <si>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</si>
  <si>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</si>
  <si>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</si>
  <si>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</si>
  <si>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</si>
  <si>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</si>
  <si>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</si>
  <si>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</si>
  <si>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</si>
  <si>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</si>
  <si>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</si>
  <si>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</si>
  <si>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</si>
  <si>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</si>
  <si>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</si>
  <si>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</si>
  <si>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</si>
  <si>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</si>
  <si>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</si>
  <si>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</si>
  <si>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</si>
  <si>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</si>
  <si>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</si>
  <si>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</si>
  <si>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</si>
  <si>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</si>
  <si>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</si>
  <si>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</si>
  <si>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</si>
  <si>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</si>
  <si>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</si>
  <si>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</si>
  <si>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</si>
  <si>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</si>
  <si>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</si>
  <si>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</si>
  <si>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</si>
  <si>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</si>
  <si>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</si>
  <si>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</si>
  <si>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</si>
  <si>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</si>
  <si>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</si>
  <si>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</si>
  <si>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</si>
  <si>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</si>
  <si>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</si>
  <si>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</si>
  <si>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</si>
  <si>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</si>
  <si>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</si>
  <si>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</si>
  <si>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</si>
  <si>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</si>
  <si>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</si>
  <si>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</si>
  <si>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</si>
  <si>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</si>
  <si>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</si>
  <si>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</si>
  <si>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</si>
  <si>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</si>
  <si>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</si>
  <si>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</si>
  <si>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</si>
  <si>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</si>
  <si>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</si>
  <si>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</si>
  <si>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</si>
  <si>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</si>
  <si>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</si>
  <si>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</si>
  <si>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</si>
  <si>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</si>
  <si>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</si>
  <si>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</si>
  <si>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</si>
  <si>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</si>
  <si>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</si>
  <si>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</si>
  <si>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</si>
  <si>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</si>
  <si>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</si>
  <si>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</si>
  <si>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</si>
  <si>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</si>
  <si>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</si>
  <si>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</si>
  <si>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</si>
  <si>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</si>
  <si>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</si>
  <si>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</si>
  <si>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</si>
  <si>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</si>
  <si>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</si>
  <si>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</si>
  <si>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</si>
  <si>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</si>
  <si>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</si>
  <si>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</si>
  <si>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</si>
  <si>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</si>
  <si>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</si>
  <si>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</si>
  <si>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</si>
  <si>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</si>
  <si>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</si>
  <si>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</si>
  <si>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</si>
  <si>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</si>
  <si>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</si>
  <si>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</si>
  <si>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</si>
  <si>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</si>
  <si>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</si>
  <si>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</si>
  <si>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</si>
  <si>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</si>
  <si>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</si>
  <si>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</si>
  <si>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</si>
  <si>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</si>
  <si>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</si>
  <si>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</si>
  <si>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</si>
  <si>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</si>
  <si>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</si>
  <si>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</si>
  <si>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</si>
  <si>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</si>
  <si>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</si>
  <si>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</si>
  <si>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</si>
  <si>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</si>
  <si>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</si>
  <si>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</si>
  <si>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</si>
  <si>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</si>
  <si>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</si>
  <si>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</si>
  <si>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</si>
  <si>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</si>
  <si>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</si>
  <si>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</si>
  <si>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</si>
  <si>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</si>
  <si>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</si>
  <si>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</si>
  <si>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</si>
  <si>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</si>
  <si>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</si>
  <si>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</si>
  <si>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</si>
  <si>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</si>
  <si>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</si>
  <si>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</si>
  <si>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</si>
  <si>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</si>
  <si>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</si>
  <si>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</si>
  <si>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</si>
  <si>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</si>
  <si>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</si>
  <si>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</si>
  <si>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</si>
  <si>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</si>
  <si>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</si>
  <si>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</si>
  <si>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</si>
  <si>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</si>
  <si>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</si>
  <si>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</si>
  <si>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</si>
  <si>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</si>
  <si>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</si>
  <si>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</si>
  <si>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</si>
  <si>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</si>
  <si>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</si>
  <si>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</si>
  <si>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</si>
  <si>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</si>
  <si>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</si>
  <si>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</si>
  <si>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</si>
  <si>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</si>
  <si>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</si>
  <si>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</si>
  <si>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</si>
  <si>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</si>
  <si>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</si>
  <si>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</si>
  <si>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</si>
  <si>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</si>
  <si>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</si>
  <si>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</si>
  <si>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</si>
  <si>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</si>
  <si>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</si>
  <si>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</si>
  <si>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</si>
  <si>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</si>
  <si>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</si>
  <si>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</si>
  <si>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</si>
  <si>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</si>
  <si>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</si>
  <si>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</si>
  <si>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</si>
  <si>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</si>
  <si>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</si>
  <si>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</si>
  <si>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</si>
  <si>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</si>
  <si>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</si>
  <si>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</si>
  <si>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</si>
  <si>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</si>
  <si>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</si>
  <si>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</si>
  <si>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</si>
  <si>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</si>
  <si>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</si>
  <si>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</si>
  <si>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</si>
  <si>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</si>
  <si>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</si>
  <si>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</si>
  <si>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</si>
  <si>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</si>
  <si>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</si>
  <si>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</si>
  <si>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</si>
  <si>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</si>
  <si>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</si>
  <si>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</si>
  <si>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</si>
  <si>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</si>
  <si>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</si>
  <si>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</si>
  <si>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</si>
  <si>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</si>
  <si>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</si>
  <si>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</si>
  <si>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</si>
  <si>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</si>
  <si>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</si>
  <si>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</si>
  <si>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</si>
  <si>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</si>
  <si>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</si>
  <si>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</si>
  <si>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</si>
  <si>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</si>
  <si>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</si>
  <si>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</si>
  <si>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</si>
  <si>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</si>
  <si>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</si>
  <si>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</si>
  <si>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</si>
  <si>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</si>
  <si>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</si>
  <si>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</si>
  <si>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</si>
  <si>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</si>
  <si>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</si>
  <si>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</si>
  <si>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</si>
  <si>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</si>
  <si>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</si>
  <si>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</si>
  <si>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</si>
  <si>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</si>
  <si>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</si>
  <si>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</si>
  <si>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</si>
  <si>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</si>
  <si>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</si>
  <si>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</si>
  <si>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</si>
  <si>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</si>
  <si>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</si>
  <si>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</si>
  <si>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</si>
  <si>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</si>
  <si>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</si>
  <si>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</si>
  <si>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</si>
  <si>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</si>
  <si>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</si>
  <si>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</si>
  <si>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</si>
  <si>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</si>
  <si>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</si>
  <si>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</si>
  <si>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</si>
  <si>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</si>
  <si>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</si>
  <si>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</si>
  <si>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</si>
  <si>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</si>
  <si>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</si>
  <si>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</si>
  <si>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</si>
  <si>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</si>
  <si>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</si>
  <si>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</si>
  <si>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</si>
  <si>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</si>
  <si>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</si>
  <si>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</si>
  <si>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</si>
  <si>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</si>
  <si>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</si>
  <si>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</si>
  <si>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</si>
  <si>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</si>
  <si>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</si>
  <si>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</si>
  <si>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</si>
  <si>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</si>
  <si>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</si>
  <si>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</si>
  <si>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</si>
  <si>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</si>
  <si>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</si>
  <si>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</si>
  <si>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</si>
  <si>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</si>
  <si>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</si>
  <si>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</si>
  <si>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</si>
  <si>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</si>
  <si>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</si>
  <si>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</si>
  <si>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</si>
  <si>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</si>
  <si>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</si>
  <si>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</si>
  <si>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</si>
  <si>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</si>
  <si>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</si>
  <si>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</si>
  <si>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</si>
  <si>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</si>
  <si>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</si>
  <si>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</si>
  <si>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</si>
  <si>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</si>
  <si>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</si>
  <si>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</si>
  <si>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</si>
  <si>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</si>
  <si>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</si>
  <si>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</si>
  <si>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</si>
  <si>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</si>
  <si>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</si>
  <si>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</si>
  <si>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</si>
  <si>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</si>
  <si>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</si>
  <si>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</si>
  <si>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</si>
  <si>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</si>
  <si>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</si>
  <si>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</si>
  <si>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</si>
  <si>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</si>
  <si>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</si>
  <si>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</si>
  <si>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</si>
  <si>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</si>
  <si>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</si>
  <si>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</si>
  <si>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</si>
  <si>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</si>
  <si>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</si>
  <si>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</si>
  <si>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</si>
  <si>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</si>
  <si>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</si>
  <si>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</si>
  <si>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</si>
  <si>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</si>
  <si>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</si>
  <si>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</si>
  <si>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</si>
  <si>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</si>
  <si>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</si>
  <si>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</si>
  <si>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</si>
  <si>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</si>
  <si>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</si>
  <si>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</si>
  <si>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</si>
  <si>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</si>
  <si>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</si>
  <si>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</si>
  <si>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</si>
  <si>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</si>
  <si>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</si>
  <si>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</si>
  <si>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</si>
  <si>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</si>
  <si>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</si>
  <si>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</si>
  <si>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</si>
  <si>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</si>
  <si>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</si>
  <si>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</si>
  <si>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</si>
  <si>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</si>
  <si>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</si>
  <si>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</si>
  <si>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</si>
  <si>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</si>
  <si>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</si>
  <si>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</si>
  <si>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</si>
  <si>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</si>
  <si>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</si>
  <si>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</si>
  <si>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</si>
  <si>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</si>
  <si>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</si>
  <si>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</si>
  <si>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</si>
  <si>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</si>
  <si>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</si>
  <si>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</si>
  <si>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</si>
  <si>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</si>
  <si>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</si>
  <si>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</si>
  <si>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</si>
  <si>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</si>
  <si>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</si>
  <si>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</si>
  <si>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</si>
  <si>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</si>
  <si>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</si>
  <si>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</si>
  <si>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</si>
  <si>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</si>
  <si>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</si>
  <si>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</si>
  <si>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</si>
  <si>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</si>
  <si>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</si>
  <si>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</si>
  <si>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</si>
  <si>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</si>
  <si>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</si>
  <si>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</si>
  <si>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</si>
  <si>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</si>
  <si>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</si>
  <si>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</si>
  <si>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</si>
  <si>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</si>
  <si>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</si>
  <si>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</si>
  <si>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</si>
  <si>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</si>
  <si>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</si>
  <si>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</si>
  <si>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</si>
  <si>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</si>
  <si>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</si>
  <si>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</si>
  <si>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</si>
  <si>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</si>
  <si>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</si>
  <si>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</si>
  <si>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</si>
  <si>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</si>
  <si>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</si>
  <si>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</si>
  <si>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</si>
  <si>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</si>
  <si>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</si>
  <si>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</si>
  <si>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</si>
  <si>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</si>
  <si>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</si>
  <si>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</si>
  <si>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</si>
  <si>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</si>
  <si>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</si>
  <si>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</si>
  <si>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</si>
  <si>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</si>
  <si>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</si>
  <si>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</si>
  <si>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</si>
  <si>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</si>
  <si>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</si>
  <si>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</si>
  <si>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</si>
  <si>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</si>
  <si>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</si>
  <si>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</si>
  <si>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</si>
  <si>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</si>
  <si>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</si>
  <si>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</si>
  <si>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</si>
  <si>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</si>
  <si>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</si>
  <si>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</si>
  <si>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</si>
  <si>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</si>
  <si>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</si>
  <si>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</si>
  <si>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</si>
  <si>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</si>
  <si>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</si>
  <si>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</si>
  <si>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</si>
  <si>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</si>
  <si>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</si>
  <si>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</si>
  <si>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</si>
  <si>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</si>
  <si>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</si>
  <si>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</si>
  <si>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</si>
  <si>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</si>
  <si>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</si>
  <si>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</si>
  <si>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</si>
  <si>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</si>
  <si>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</si>
  <si>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</si>
  <si>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</si>
  <si>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</si>
  <si>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</si>
  <si>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</si>
  <si>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</si>
  <si>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</si>
  <si>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</si>
  <si>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</si>
  <si>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</si>
  <si>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</si>
  <si>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</si>
  <si>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</si>
  <si>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</si>
  <si>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</si>
  <si>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</si>
  <si>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</si>
  <si>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</si>
  <si>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</si>
  <si>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</si>
  <si>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</si>
  <si>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</si>
  <si>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</si>
  <si>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</si>
  <si>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</si>
  <si>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</si>
  <si>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</si>
  <si>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</si>
  <si>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</si>
  <si>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</si>
  <si>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</si>
  <si>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</si>
  <si>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</si>
  <si>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</si>
  <si>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</si>
  <si>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</si>
  <si>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</si>
  <si>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</si>
  <si>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</si>
  <si>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</si>
  <si>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</si>
  <si>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</si>
  <si>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</si>
  <si>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</si>
  <si>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</si>
  <si>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</si>
  <si>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</si>
  <si>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</si>
  <si>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</si>
  <si>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</si>
  <si>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</si>
  <si>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</si>
  <si>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</si>
  <si>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</si>
  <si>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</si>
  <si>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</si>
  <si>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</si>
  <si>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</si>
  <si>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</si>
  <si>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</si>
  <si>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</si>
  <si>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</si>
  <si>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</si>
  <si>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</si>
  <si>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</si>
  <si>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</si>
  <si>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</si>
  <si>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</si>
  <si>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</si>
  <si>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</si>
  <si>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</si>
  <si>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</si>
  <si>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</si>
  <si>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</si>
  <si>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</si>
  <si>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</si>
  <si>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</si>
  <si>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</si>
  <si>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</si>
  <si>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</si>
  <si>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</si>
  <si>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</si>
  <si>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</si>
  <si>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</si>
  <si>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</si>
  <si>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</si>
  <si>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</si>
  <si>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</si>
  <si>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</si>
  <si>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</si>
  <si>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</si>
  <si>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</si>
  <si>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</si>
  <si>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</si>
  <si>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</si>
  <si>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</si>
  <si>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</si>
  <si>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</si>
  <si>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</si>
  <si>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</si>
  <si>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</si>
  <si>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</si>
  <si>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</si>
  <si>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</si>
  <si>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</si>
  <si>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</si>
  <si>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</si>
  <si>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</si>
  <si>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</si>
  <si>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</si>
  <si>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</si>
  <si>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</si>
  <si>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</si>
  <si>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</si>
  <si>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</si>
  <si>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</si>
  <si>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</si>
  <si>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</si>
  <si>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</si>
  <si>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</si>
  <si>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</si>
  <si>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</si>
  <si>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</si>
  <si>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</si>
  <si>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</si>
  <si>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</si>
  <si>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</si>
  <si>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</si>
  <si>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</si>
  <si>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</si>
  <si>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</si>
  <si>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</si>
  <si>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</si>
  <si>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</si>
  <si>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</si>
  <si>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</si>
  <si>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</si>
  <si>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</si>
  <si>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</si>
  <si>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</si>
  <si>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</si>
  <si>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</si>
  <si>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</si>
  <si>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</si>
  <si>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</si>
  <si>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</si>
  <si>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</si>
  <si>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</si>
  <si>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</si>
  <si>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</si>
  <si>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</si>
  <si>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</si>
  <si>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</si>
  <si>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</si>
  <si>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</si>
  <si>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</si>
  <si>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</si>
  <si>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</si>
  <si>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</si>
  <si>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</si>
  <si>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</si>
  <si>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</si>
  <si>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</si>
  <si>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</si>
  <si>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</si>
  <si>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</si>
  <si>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</si>
  <si>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</si>
  <si>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</si>
  <si>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</si>
  <si>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</si>
  <si>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</si>
  <si>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</si>
  <si>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</si>
  <si>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</si>
  <si>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</si>
  <si>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</si>
  <si>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</si>
  <si>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</si>
  <si>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</si>
  <si>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</si>
  <si>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</si>
  <si>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</si>
  <si>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</si>
  <si>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</si>
  <si>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</si>
  <si>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</si>
  <si>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</si>
  <si>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</si>
  <si>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</si>
  <si>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</si>
  <si>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</si>
  <si>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</si>
  <si>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</si>
  <si>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</si>
  <si>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</si>
  <si>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</si>
  <si>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</si>
  <si>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</si>
  <si>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</si>
  <si>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</si>
  <si>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</si>
  <si>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</si>
  <si>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</si>
  <si>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</si>
  <si>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</si>
  <si>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</si>
  <si>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</si>
  <si>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</si>
  <si>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</si>
  <si>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</si>
  <si>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</si>
  <si>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</si>
  <si>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</si>
  <si>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</si>
  <si>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</si>
  <si>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</si>
  <si>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</si>
  <si>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</si>
  <si>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</si>
  <si>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</si>
  <si>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</si>
  <si>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</si>
  <si>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</si>
  <si>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</si>
  <si>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</si>
  <si>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</si>
  <si>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</si>
  <si>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</si>
  <si>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</si>
  <si>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</si>
  <si>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</si>
  <si>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</si>
  <si>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</si>
  <si>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</si>
  <si>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</si>
  <si>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</si>
  <si>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</si>
  <si>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</si>
  <si>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</si>
  <si>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</si>
  <si>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</si>
  <si>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</si>
  <si>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</si>
  <si>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</si>
  <si>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</si>
  <si>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</si>
  <si>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</si>
  <si>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</si>
  <si>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</si>
  <si>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</si>
  <si>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</si>
  <si>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</si>
  <si>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</si>
  <si>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</si>
  <si>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</si>
  <si>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</si>
  <si>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</si>
  <si>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</si>
  <si>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</si>
  <si>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</si>
  <si>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</si>
  <si>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</si>
  <si>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</si>
  <si>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</si>
  <si>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</si>
  <si>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</si>
  <si>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</si>
  <si>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</si>
  <si>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</si>
  <si>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</si>
  <si>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</si>
  <si>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</si>
  <si>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</si>
  <si>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</si>
  <si>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</si>
  <si>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</si>
  <si>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</si>
  <si>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</si>
  <si>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</si>
  <si>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</si>
  <si>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</si>
  <si>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</si>
  <si>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</si>
  <si>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</si>
  <si>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</si>
  <si>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</si>
  <si>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</si>
  <si>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</si>
  <si>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</si>
  <si>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</si>
  <si>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</si>
  <si>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</si>
  <si>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</si>
  <si>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</si>
  <si>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</si>
  <si>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</si>
  <si>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</si>
  <si>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</si>
  <si>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</si>
  <si>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</si>
  <si>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</si>
  <si>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</si>
  <si>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</si>
  <si>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</si>
  <si>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</si>
  <si>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</si>
  <si>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</si>
  <si>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</si>
  <si>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</si>
  <si>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</si>
  <si>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</si>
  <si>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</si>
  <si>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</si>
  <si>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</si>
  <si>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</si>
  <si>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</si>
  <si>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</si>
  <si>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</si>
  <si>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</si>
  <si>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</si>
  <si>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</si>
  <si>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</si>
  <si>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</si>
  <si>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</si>
  <si>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</si>
  <si>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</si>
  <si>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</si>
  <si>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</si>
  <si>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</si>
  <si>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</si>
  <si>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</si>
  <si>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</si>
  <si>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</si>
  <si>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</si>
  <si>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</si>
  <si>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</si>
  <si>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</si>
  <si>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</si>
  <si>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</si>
  <si>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</si>
  <si>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</si>
  <si>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</si>
  <si>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</si>
  <si>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</si>
  <si>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</si>
  <si>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</si>
  <si>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</si>
  <si>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</si>
  <si>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</si>
  <si>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</si>
  <si>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</si>
  <si>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</si>
  <si>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</si>
  <si>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</si>
  <si>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</si>
  <si>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</si>
  <si>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</si>
  <si>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</si>
  <si>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</si>
  <si>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</si>
  <si>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</si>
  <si>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</si>
  <si>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</si>
  <si>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</si>
  <si>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</si>
  <si>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</si>
  <si>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</si>
  <si>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</si>
  <si>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</si>
  <si>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</si>
  <si>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</si>
  <si>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</si>
  <si>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</si>
  <si>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</si>
  <si>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</si>
  <si>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</si>
  <si>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</si>
  <si>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</si>
  <si>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</si>
  <si>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</si>
  <si>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</si>
  <si>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</si>
  <si>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</si>
  <si>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</si>
  <si>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</si>
  <si>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</si>
  <si>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</si>
  <si>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</si>
  <si>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</si>
  <si>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</si>
  <si>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</si>
  <si>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</si>
  <si>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</si>
  <si>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</si>
  <si>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</si>
  <si>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</si>
  <si>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</si>
  <si>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</si>
  <si>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</si>
  <si>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</si>
  <si>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</si>
  <si>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</si>
  <si>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</si>
  <si>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</si>
  <si>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</si>
  <si>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</si>
  <si>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</si>
  <si>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</si>
  <si>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</si>
  <si>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</si>
  <si>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</si>
  <si>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</si>
  <si>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</si>
  <si>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</si>
  <si>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</si>
  <si>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</si>
  <si>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</si>
  <si>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</si>
  <si>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</si>
  <si>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</si>
  <si>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</si>
  <si>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</si>
  <si>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</si>
  <si>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</si>
  <si>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</si>
  <si>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</si>
  <si>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</si>
  <si>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</si>
  <si>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</si>
  <si>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</si>
  <si>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</si>
  <si>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</si>
  <si>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</si>
  <si>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</si>
  <si>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</si>
  <si>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</si>
  <si>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</si>
  <si>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</si>
  <si>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</si>
  <si>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</si>
  <si>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</si>
  <si>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</si>
  <si>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</si>
  <si>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</si>
  <si>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</si>
  <si>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</si>
  <si>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</si>
  <si>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</si>
  <si>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</si>
  <si>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</si>
  <si>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</si>
  <si>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</si>
  <si>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</si>
  <si>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</si>
  <si>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</si>
  <si>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</si>
  <si>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</si>
  <si>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</si>
  <si>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</si>
  <si>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</si>
  <si>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</si>
  <si>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</si>
  <si>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</si>
  <si>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</si>
  <si>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</si>
  <si>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</si>
  <si>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</si>
  <si>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</si>
  <si>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</si>
  <si>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</si>
  <si>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</si>
  <si>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</si>
  <si>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</si>
  <si>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</si>
  <si>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</si>
  <si>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</si>
  <si>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</si>
  <si>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</si>
  <si>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</si>
  <si>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</si>
  <si>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</si>
  <si>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</si>
  <si>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</si>
  <si>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</si>
  <si>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</si>
  <si>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</si>
  <si>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</si>
  <si>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</si>
  <si>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</si>
  <si>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</si>
  <si>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</si>
  <si>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</si>
  <si>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</si>
  <si>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</si>
  <si>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</si>
  <si>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</si>
  <si>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</si>
  <si>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</si>
  <si>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</si>
  <si>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</si>
  <si>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</si>
  <si>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</si>
  <si>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</si>
  <si>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</si>
  <si>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</si>
  <si>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</si>
  <si>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</si>
  <si>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</si>
  <si>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</si>
  <si>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</si>
  <si>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</si>
  <si>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</si>
  <si>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</si>
  <si>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</si>
  <si>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</si>
  <si>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</si>
  <si>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</si>
  <si>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</si>
  <si>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</si>
  <si>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</si>
  <si>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</si>
  <si>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</si>
  <si>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</si>
  <si>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</si>
  <si>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</si>
  <si>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</si>
  <si>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</si>
  <si>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</si>
  <si>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</si>
  <si>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</si>
  <si>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</si>
  <si>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</si>
  <si>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</si>
  <si>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</si>
  <si>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</si>
  <si>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</si>
  <si>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</si>
  <si>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</si>
  <si>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</si>
  <si>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</si>
  <si>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</si>
  <si>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</si>
  <si>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</si>
  <si>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</si>
  <si>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</si>
  <si>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</si>
  <si>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</si>
  <si>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</si>
  <si>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</si>
  <si>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</si>
  <si>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</si>
  <si>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</si>
  <si>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</si>
  <si>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</si>
  <si>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</si>
  <si>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</si>
  <si>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</si>
  <si>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</si>
  <si>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</si>
  <si>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</si>
  <si>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</si>
  <si>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</si>
  <si>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</si>
  <si>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</si>
  <si>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</si>
  <si>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</si>
  <si>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</si>
  <si>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</si>
  <si>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</si>
  <si>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</si>
  <si>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</si>
  <si>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</si>
  <si>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</si>
  <si>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</si>
  <si>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</si>
  <si>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</si>
  <si>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</si>
  <si>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</si>
  <si>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</si>
  <si>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</si>
  <si>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</si>
  <si>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</si>
  <si>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</si>
  <si>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</si>
  <si>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</si>
  <si>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</si>
  <si>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</si>
  <si>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</si>
  <si>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</si>
  <si>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</si>
  <si>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</si>
  <si>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</si>
  <si>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</si>
  <si>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</si>
  <si>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</si>
  <si>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</si>
  <si>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</si>
  <si>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</si>
  <si>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</si>
  <si>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</si>
  <si>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</si>
  <si>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</si>
  <si>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</si>
  <si>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</si>
  <si>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</si>
  <si>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</si>
  <si>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</si>
  <si>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</si>
  <si>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</si>
  <si>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</si>
  <si>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</si>
  <si>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</si>
  <si>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</si>
  <si>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</si>
  <si>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</si>
  <si>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</si>
  <si>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</si>
  <si>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</si>
  <si>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</si>
  <si>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</si>
  <si>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</si>
  <si>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</si>
  <si>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</si>
  <si>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</si>
  <si>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</si>
  <si>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</si>
  <si>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</si>
  <si>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</si>
  <si>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</si>
  <si>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</si>
  <si>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</si>
  <si>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</si>
  <si>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</si>
  <si>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</si>
  <si>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</si>
  <si>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</si>
  <si>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</si>
  <si>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</si>
  <si>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</si>
  <si>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</si>
  <si>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</si>
  <si>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</si>
  <si>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</si>
  <si>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</si>
  <si>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</si>
  <si>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</si>
  <si>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</si>
  <si>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</si>
  <si>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</si>
  <si>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</si>
  <si>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</si>
  <si>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</si>
  <si>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</si>
  <si>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</si>
  <si>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</si>
  <si>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</si>
  <si>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</si>
  <si>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</si>
  <si>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</si>
  <si>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</si>
  <si>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</si>
  <si>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</si>
  <si>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</si>
  <si>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</si>
  <si>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</si>
  <si>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</si>
  <si>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</si>
  <si>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</si>
  <si>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</si>
  <si>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</si>
  <si>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</si>
  <si>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</si>
  <si>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</si>
  <si>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</si>
  <si>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</si>
  <si>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</si>
  <si>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</si>
  <si>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</si>
  <si>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</si>
  <si>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</si>
  <si>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</si>
  <si>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</si>
  <si>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</si>
  <si>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</si>
  <si>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</si>
  <si>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</si>
  <si>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</si>
  <si>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</si>
  <si>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</si>
  <si>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</si>
  <si>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</si>
  <si>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</si>
  <si>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</si>
  <si>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</si>
  <si>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</si>
  <si>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</si>
  <si>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</si>
  <si>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</si>
  <si>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</si>
  <si>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</si>
  <si>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</si>
  <si>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</si>
  <si>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</si>
  <si>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</si>
  <si>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</si>
  <si>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</si>
  <si>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</si>
  <si>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</si>
  <si>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</si>
  <si>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</si>
  <si>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</si>
  <si>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</si>
  <si>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</si>
  <si>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</si>
  <si>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</si>
  <si>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</si>
  <si>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</si>
  <si>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</si>
  <si>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</si>
  <si>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</si>
  <si>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</si>
  <si>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</si>
  <si>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</si>
  <si>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</si>
  <si>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</si>
  <si>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</si>
  <si>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</si>
  <si>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</si>
  <si>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</si>
  <si>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</si>
  <si>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</si>
  <si>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</si>
  <si>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</si>
  <si>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</si>
  <si>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</si>
  <si>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</si>
  <si>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</si>
  <si>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</si>
  <si>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</si>
  <si>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</si>
  <si>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</si>
  <si>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</si>
  <si>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</si>
  <si>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</si>
  <si>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</si>
  <si>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</si>
  <si>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</si>
  <si>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</si>
  <si>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</si>
  <si>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</si>
  <si>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</si>
  <si>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</si>
  <si>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</si>
  <si>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</si>
  <si>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</si>
  <si>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</si>
  <si>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</si>
  <si>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</si>
  <si>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</si>
  <si>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</si>
  <si>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</si>
  <si>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</si>
  <si>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</si>
  <si>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</si>
  <si>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</si>
  <si>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</si>
  <si>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</si>
  <si>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</si>
  <si>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</si>
  <si>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</si>
  <si>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</si>
  <si>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</si>
  <si>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</si>
  <si>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</si>
  <si>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</si>
  <si>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</si>
  <si>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</si>
  <si>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</si>
  <si>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</si>
  <si>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</si>
  <si>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</si>
  <si>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</si>
  <si>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</si>
  <si>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</si>
  <si>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</si>
  <si>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</si>
  <si>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</si>
  <si>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</si>
  <si>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</si>
  <si>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</si>
  <si>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</si>
  <si>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</si>
  <si>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</si>
  <si>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</si>
  <si>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</si>
  <si>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</si>
  <si>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</si>
  <si>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</si>
  <si>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</si>
  <si>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</si>
  <si>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</si>
  <si>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</si>
  <si>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</si>
  <si>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</si>
  <si>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</si>
  <si>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</si>
  <si>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</si>
  <si>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</si>
  <si>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</si>
  <si>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</si>
  <si>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</si>
  <si>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</si>
  <si>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</si>
  <si>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</si>
  <si>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</si>
  <si>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</si>
  <si>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</si>
  <si>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</si>
  <si>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</si>
  <si>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</si>
  <si>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</si>
  <si>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</si>
  <si>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</si>
  <si>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</si>
  <si>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</si>
  <si>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</si>
  <si>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</si>
  <si>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</si>
  <si>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</si>
  <si>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</si>
  <si>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</si>
  <si>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</si>
  <si>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</si>
  <si>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</si>
  <si>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</si>
  <si>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</si>
  <si>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</si>
  <si>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</si>
  <si>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</si>
  <si>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</si>
  <si>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</si>
  <si>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</si>
  <si>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</si>
  <si>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</si>
  <si>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</si>
  <si>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</si>
  <si>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</si>
  <si>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</si>
  <si>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</si>
  <si>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</si>
  <si>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</si>
  <si>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</si>
  <si>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</si>
  <si>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</si>
  <si>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</si>
  <si>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</si>
  <si>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</si>
  <si>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</si>
  <si>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</si>
  <si>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</si>
  <si>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</si>
  <si>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</si>
  <si>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</si>
  <si>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</si>
  <si>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</si>
  <si>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</si>
  <si>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</si>
  <si>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</si>
  <si>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</si>
  <si>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</si>
  <si>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</si>
  <si>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</si>
  <si>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</si>
  <si>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</si>
  <si>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</si>
  <si>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</si>
  <si>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</si>
  <si>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</si>
  <si>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</si>
  <si>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</si>
  <si>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</si>
  <si>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</si>
  <si>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</si>
  <si>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</si>
  <si>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</si>
  <si>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</si>
  <si>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</si>
  <si>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</si>
  <si>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</si>
  <si>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</si>
  <si>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</si>
  <si>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</si>
  <si>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</si>
  <si>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</si>
  <si>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</si>
  <si>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</si>
  <si>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</si>
  <si>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</si>
  <si>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</si>
  <si>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</si>
  <si>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</si>
  <si>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</si>
  <si>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</si>
  <si>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</si>
  <si>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</si>
  <si>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</si>
  <si>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</si>
  <si>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</si>
  <si>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</si>
  <si>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</si>
  <si>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</si>
  <si>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</si>
  <si>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</si>
  <si>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</si>
  <si>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</si>
  <si>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</si>
  <si>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</si>
  <si>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</si>
  <si>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</si>
  <si>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</si>
  <si>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</si>
  <si>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</si>
  <si>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</si>
  <si>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</si>
  <si>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</si>
  <si>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</si>
  <si>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</si>
  <si>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</si>
  <si>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</si>
  <si>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</si>
  <si>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</si>
  <si>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</si>
  <si>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</si>
  <si>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</si>
  <si>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</si>
  <si>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</si>
  <si>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</si>
  <si>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</si>
  <si>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</si>
  <si>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</si>
  <si>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</si>
  <si>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</si>
  <si>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</si>
  <si>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</si>
  <si>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</si>
  <si>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</si>
  <si>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</si>
  <si>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</si>
  <si>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</si>
  <si>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</si>
  <si>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</si>
  <si>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</si>
  <si>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</si>
  <si>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</si>
  <si>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</si>
  <si>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</si>
  <si>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</si>
  <si>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</si>
  <si>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</si>
  <si>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</si>
  <si>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</si>
  <si>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</si>
  <si>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</si>
  <si>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</si>
  <si>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</si>
  <si>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</si>
  <si>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</si>
  <si>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</si>
  <si>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</si>
  <si>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</si>
  <si>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</si>
  <si>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</si>
  <si>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</si>
  <si>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</si>
  <si>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</si>
  <si>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</si>
  <si>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</si>
  <si>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</si>
  <si>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</si>
  <si>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</si>
  <si>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</si>
  <si>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</si>
  <si>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</si>
  <si>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</si>
  <si>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</si>
  <si>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</si>
  <si>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</si>
  <si>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</si>
  <si>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</si>
  <si>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</si>
  <si>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</si>
  <si>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</si>
  <si>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</si>
  <si>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</si>
  <si>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</si>
  <si>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</si>
  <si>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</si>
  <si>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</si>
  <si>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</si>
  <si>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</si>
  <si>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</si>
  <si>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</si>
  <si>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</si>
  <si>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</si>
  <si>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</si>
  <si>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</si>
  <si>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</si>
  <si>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</si>
  <si>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</si>
  <si>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</si>
  <si>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</si>
  <si>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</si>
  <si>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</si>
  <si>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</si>
  <si>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</si>
  <si>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</si>
  <si>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</si>
  <si>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</si>
  <si>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</si>
  <si>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</si>
  <si>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</si>
  <si>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</si>
  <si>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</si>
  <si>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</si>
  <si>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</si>
  <si>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</si>
  <si>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</si>
  <si>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</si>
  <si>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</si>
  <si>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</si>
  <si>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</si>
  <si>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</si>
  <si>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</si>
  <si>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</si>
  <si>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</si>
  <si>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</si>
  <si>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</si>
  <si>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</si>
  <si>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</si>
  <si>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</si>
  <si>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</si>
  <si>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</si>
  <si>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</si>
  <si>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</si>
  <si>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</si>
  <si>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</si>
  <si>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</si>
  <si>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</si>
  <si>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</si>
  <si>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</si>
  <si>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</si>
  <si>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</si>
  <si>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</si>
  <si>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</si>
  <si>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</si>
  <si>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</si>
  <si>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</si>
  <si>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</si>
  <si>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</si>
  <si>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</si>
  <si>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</si>
  <si>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</si>
  <si>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</si>
  <si>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</si>
  <si>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</si>
  <si>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</si>
  <si>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</si>
  <si>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</si>
  <si>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</si>
  <si>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</si>
  <si>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</si>
  <si>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</si>
  <si>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</si>
  <si>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</si>
  <si>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</si>
  <si>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</si>
  <si>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</si>
  <si>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</si>
  <si>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</si>
  <si>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</si>
  <si>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</si>
  <si>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</si>
  <si>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</si>
  <si>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</si>
  <si>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</si>
  <si>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</si>
  <si>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</si>
  <si>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</si>
  <si>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</si>
  <si>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</si>
  <si>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</si>
  <si>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</si>
  <si>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</si>
  <si>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</si>
  <si>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</si>
  <si>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</si>
  <si>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</si>
  <si>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</si>
  <si>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</si>
  <si>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</si>
  <si>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</si>
  <si>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</si>
  <si>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</si>
  <si>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</si>
  <si>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</si>
  <si>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</si>
  <si>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</si>
  <si>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</si>
  <si>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</si>
  <si>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</si>
  <si>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</si>
  <si>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</si>
  <si>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</si>
  <si>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</si>
  <si>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</si>
  <si>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</si>
  <si>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</si>
  <si>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</si>
  <si>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</si>
  <si>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</si>
  <si>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</si>
  <si>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</si>
  <si>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</si>
  <si>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</si>
  <si>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</si>
  <si>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</si>
  <si>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</si>
  <si>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</si>
  <si>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</si>
  <si>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</si>
  <si>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</si>
  <si>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</si>
  <si>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</si>
  <si>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</si>
  <si>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</si>
  <si>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</si>
  <si>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</si>
  <si>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</si>
  <si>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</si>
  <si>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</si>
  <si>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</si>
  <si>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</si>
  <si>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</si>
  <si>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</si>
  <si>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</si>
  <si>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</si>
  <si>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</si>
  <si>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</si>
  <si>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</si>
  <si>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</si>
  <si>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</si>
  <si>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</si>
  <si>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</si>
  <si>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</si>
  <si>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</si>
  <si>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</si>
  <si>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</si>
  <si>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</si>
  <si>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</si>
  <si>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</si>
  <si>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</si>
  <si>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</si>
  <si>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</si>
  <si>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</si>
  <si>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</si>
  <si>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</si>
  <si>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</si>
  <si>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</si>
  <si>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</si>
  <si>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</si>
  <si>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</si>
  <si>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</si>
  <si>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</si>
  <si>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</si>
  <si>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</si>
  <si>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</si>
  <si>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</si>
  <si>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</si>
  <si>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</si>
  <si>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</si>
  <si>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</si>
  <si>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</si>
  <si>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</si>
  <si>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</si>
  <si>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</si>
  <si>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</si>
  <si>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</si>
  <si>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</si>
  <si>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</si>
  <si>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</si>
  <si>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</si>
  <si>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</si>
  <si>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</si>
  <si>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</si>
  <si>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</si>
  <si>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</si>
  <si>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</si>
  <si>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</si>
  <si>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</si>
  <si>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</si>
  <si>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</si>
  <si>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</si>
  <si>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</si>
  <si>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</si>
  <si>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</si>
  <si>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</si>
  <si>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</si>
  <si>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</si>
  <si>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</si>
  <si>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</si>
  <si>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</si>
  <si>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</si>
  <si>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</si>
  <si>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</si>
  <si>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</si>
  <si>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</si>
  <si>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</si>
  <si>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</si>
  <si>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</si>
  <si>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</si>
  <si>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</si>
  <si>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</si>
  <si>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</si>
  <si>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</si>
  <si>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</si>
  <si>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</si>
  <si>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</si>
  <si>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</si>
  <si>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</si>
  <si>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</si>
  <si>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</si>
  <si>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</si>
  <si>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</si>
  <si>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</si>
  <si>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</si>
  <si>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</si>
  <si>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</si>
  <si>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</si>
  <si>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</si>
  <si>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</si>
  <si>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</si>
  <si>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</si>
  <si>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</si>
  <si>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</si>
  <si>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</si>
  <si>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</si>
  <si>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</si>
  <si>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</si>
  <si>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</si>
  <si>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</si>
  <si>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</si>
  <si>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</si>
  <si>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</si>
  <si>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</si>
  <si>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</si>
  <si>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</si>
  <si>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</si>
  <si>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</si>
  <si>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</si>
  <si>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</si>
  <si>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</si>
  <si>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</si>
  <si>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</si>
  <si>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</si>
  <si>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</si>
  <si>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</si>
  <si>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</si>
  <si>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</si>
  <si>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</si>
  <si>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</si>
  <si>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</si>
  <si>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</si>
  <si>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</si>
  <si>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</si>
  <si>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</si>
  <si>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</si>
  <si>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</si>
  <si>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</si>
  <si>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</si>
  <si>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</si>
  <si>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</si>
  <si>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</si>
  <si>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</si>
  <si>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</si>
  <si>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</si>
  <si>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</si>
  <si>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</si>
  <si>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</si>
  <si>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</si>
  <si>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</si>
  <si>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</si>
  <si>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</si>
  <si>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</si>
  <si>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</si>
  <si>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</si>
  <si>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</si>
  <si>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</si>
  <si>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</si>
  <si>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</si>
  <si>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</si>
  <si>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</si>
  <si>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</si>
  <si>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</si>
  <si>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</si>
  <si>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</si>
  <si>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</si>
  <si>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</si>
  <si>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</si>
  <si>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</si>
  <si>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</si>
  <si>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</si>
  <si>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</si>
  <si>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</si>
  <si>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</si>
  <si>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</si>
  <si>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</si>
  <si>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</si>
  <si>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</si>
  <si>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</si>
  <si>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</si>
  <si>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</si>
  <si>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</si>
  <si>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</si>
  <si>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</si>
  <si>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</si>
  <si>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</si>
  <si>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</si>
  <si>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</si>
  <si>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</si>
  <si>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</si>
  <si>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</si>
  <si>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</si>
  <si>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</si>
  <si>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</si>
  <si>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</si>
  <si>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</si>
  <si>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</si>
  <si>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</si>
  <si>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</si>
  <si>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</si>
  <si>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</si>
  <si>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</si>
  <si>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</si>
  <si>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</si>
  <si>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</si>
  <si>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</si>
  <si>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</si>
  <si>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</si>
  <si>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</si>
  <si>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</si>
  <si>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</si>
  <si>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</si>
  <si>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</si>
  <si>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</si>
  <si>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</si>
  <si>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</si>
  <si>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</si>
  <si>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</si>
  <si>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</si>
  <si>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</si>
  <si>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</si>
  <si>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</si>
  <si>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</si>
  <si>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</si>
  <si>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</si>
  <si>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</si>
  <si>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</si>
  <si>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</si>
  <si>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</si>
  <si>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</si>
  <si>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</si>
  <si>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</si>
  <si>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</si>
  <si>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</si>
  <si>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</si>
  <si>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</si>
  <si>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</si>
  <si>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</si>
  <si>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</si>
  <si>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</si>
  <si>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</si>
  <si>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</si>
  <si>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</si>
  <si>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</si>
  <si>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</si>
  <si>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</si>
  <si>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</si>
  <si>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</si>
  <si>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</si>
  <si>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</si>
  <si>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</si>
  <si>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</si>
  <si>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</si>
  <si>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</si>
  <si>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</si>
  <si>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</si>
  <si>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</si>
  <si>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</si>
  <si>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</si>
  <si>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</si>
  <si>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</si>
  <si>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</si>
  <si>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</si>
  <si>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</si>
  <si>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</si>
  <si>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</si>
  <si>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</si>
  <si>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</si>
  <si>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</si>
  <si>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</si>
  <si>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</si>
  <si>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</si>
  <si>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</si>
  <si>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</si>
  <si>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</si>
  <si>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</si>
  <si>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</si>
  <si>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</si>
  <si>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</si>
  <si>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</si>
  <si>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</si>
  <si>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</si>
  <si>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</si>
  <si>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</si>
  <si>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</si>
  <si>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</si>
  <si>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</si>
  <si>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</si>
  <si>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</si>
  <si>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</si>
  <si>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</si>
  <si>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</si>
  <si>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</si>
  <si>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</si>
  <si>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</si>
  <si>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</si>
  <si>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</si>
  <si>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</si>
  <si>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</si>
  <si>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</si>
  <si>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</si>
  <si>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</si>
  <si>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</si>
  <si>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</si>
  <si>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</si>
  <si>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</si>
  <si>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</si>
  <si>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</si>
  <si>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</si>
  <si>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</si>
  <si>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</si>
  <si>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</si>
  <si>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</si>
  <si>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</si>
  <si>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</si>
  <si>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</si>
  <si>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</si>
  <si>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</si>
  <si>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</si>
  <si>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</si>
  <si>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</si>
  <si>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</si>
  <si>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</si>
  <si>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</si>
  <si>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</si>
  <si>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</si>
  <si>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</si>
  <si>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</si>
  <si>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</si>
  <si>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</si>
  <si>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</si>
  <si>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</si>
  <si>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</si>
  <si>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</si>
  <si>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</si>
  <si>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</si>
  <si>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</si>
  <si>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</si>
  <si>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</si>
  <si>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</si>
  <si>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</si>
  <si>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</si>
  <si>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</si>
  <si>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</si>
  <si>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</si>
  <si>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</si>
  <si>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</si>
  <si>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</si>
  <si>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</si>
  <si>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</si>
  <si>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</si>
  <si>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</si>
  <si>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</si>
  <si>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</si>
  <si>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</si>
  <si>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</si>
  <si>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</si>
  <si>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</si>
  <si>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</si>
  <si>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</si>
  <si>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</si>
  <si>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</si>
  <si>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</si>
  <si>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</si>
  <si>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</si>
  <si>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</si>
  <si>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</si>
  <si>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</si>
  <si>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</si>
  <si>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</si>
  <si>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</si>
  <si>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</si>
  <si>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</si>
  <si>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</si>
  <si>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</si>
  <si>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</si>
  <si>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</si>
  <si>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</si>
  <si>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</si>
  <si>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</si>
  <si>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</si>
  <si>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</si>
  <si>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</si>
  <si>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</si>
  <si>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</si>
  <si>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</si>
  <si>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</si>
  <si>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</si>
  <si>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</si>
  <si>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</si>
  <si>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</si>
  <si>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</si>
  <si>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</si>
  <si>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</si>
  <si>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</si>
  <si>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</si>
  <si>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</si>
  <si>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</si>
  <si>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</si>
  <si>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</si>
  <si>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</si>
  <si>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</si>
  <si>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</si>
  <si>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</si>
  <si>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</si>
  <si>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</si>
  <si>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</si>
  <si>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</si>
  <si>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</si>
  <si>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</si>
  <si>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</si>
  <si>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</si>
  <si>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</si>
  <si>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</si>
  <si>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</si>
  <si>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</si>
  <si>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</si>
  <si>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</si>
  <si>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</si>
  <si>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</si>
  <si>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</si>
  <si>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</si>
  <si>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</si>
  <si>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</si>
  <si>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</si>
  <si>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</si>
  <si>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</si>
  <si>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</si>
  <si>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</si>
  <si>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</si>
  <si>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</si>
  <si>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</si>
  <si>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</si>
  <si>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</si>
  <si>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</si>
  <si>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</si>
  <si>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</si>
  <si>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</si>
  <si>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</si>
  <si>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</si>
  <si>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</si>
  <si>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</si>
  <si>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</si>
  <si>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</si>
  <si>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</si>
  <si>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</si>
  <si>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</si>
  <si>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</si>
  <si>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</si>
  <si>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</si>
  <si>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</si>
  <si>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</si>
  <si>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</si>
  <si>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</si>
  <si>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</si>
  <si>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</si>
  <si>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</si>
  <si>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</si>
  <si>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</si>
  <si>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</si>
  <si>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</si>
  <si>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</si>
  <si>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</si>
  <si>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</si>
  <si>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</si>
  <si>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</si>
  <si>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</si>
  <si>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</si>
  <si>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</si>
  <si>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</si>
  <si>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</si>
  <si>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</si>
  <si>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</si>
  <si>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</si>
  <si>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</si>
  <si>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</si>
  <si>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</si>
  <si>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</si>
  <si>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</si>
  <si>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</si>
  <si>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</si>
  <si>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</si>
  <si>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</si>
  <si>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</si>
  <si>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</si>
  <si>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</si>
  <si>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</si>
  <si>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</si>
  <si>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</si>
  <si>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</si>
  <si>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</si>
  <si>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</si>
  <si>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</si>
  <si>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</si>
  <si>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</si>
  <si>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</si>
  <si>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</si>
  <si>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</si>
  <si>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</si>
  <si>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</si>
  <si>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</si>
  <si>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</si>
  <si>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</si>
  <si>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</si>
  <si>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</si>
  <si>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</si>
  <si>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</si>
  <si>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</si>
  <si>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</si>
  <si>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</si>
  <si>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</si>
  <si>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</si>
  <si>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</si>
  <si>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</si>
  <si>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</si>
  <si>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</si>
  <si>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</si>
  <si>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</si>
  <si>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</si>
  <si>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</si>
  <si>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</si>
  <si>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</si>
  <si>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</si>
  <si>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</si>
  <si>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</si>
  <si>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</si>
  <si>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</si>
  <si>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</si>
  <si>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</si>
  <si>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</si>
  <si>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</si>
  <si>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</si>
  <si>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</si>
  <si>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</si>
  <si>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</si>
  <si>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</si>
  <si>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</si>
  <si>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</si>
  <si>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</si>
  <si>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</si>
  <si>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</si>
  <si>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</si>
  <si>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</si>
  <si>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</si>
  <si>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</si>
  <si>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</si>
  <si>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</si>
  <si>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</si>
  <si>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</si>
  <si>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</si>
  <si>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</si>
  <si>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</si>
  <si>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</si>
  <si>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</si>
  <si>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</si>
  <si>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</si>
  <si>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</si>
  <si>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</si>
  <si>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</si>
  <si>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</si>
  <si>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</si>
  <si>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</si>
  <si>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</si>
  <si>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</si>
  <si>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</si>
  <si>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</si>
  <si>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</si>
  <si>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</si>
  <si>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</si>
  <si>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</si>
  <si>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</si>
  <si>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</si>
  <si>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</si>
  <si>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</si>
  <si>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</si>
  <si>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</si>
  <si>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</si>
  <si>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</si>
  <si>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</si>
  <si>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</si>
  <si>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</si>
  <si>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</si>
  <si>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</si>
  <si>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</si>
  <si>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</si>
  <si>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</si>
  <si>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</si>
  <si>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</si>
  <si>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</si>
  <si>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</si>
  <si>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</si>
  <si>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</si>
  <si>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</si>
  <si>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</si>
  <si>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</si>
  <si>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</si>
  <si>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</si>
  <si>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</si>
  <si>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</si>
  <si>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</si>
  <si>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</si>
  <si>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</si>
  <si>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</si>
  <si>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</si>
  <si>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</si>
  <si>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</si>
  <si>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</si>
  <si>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</si>
  <si>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</si>
  <si>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</si>
  <si>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</si>
  <si>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</si>
  <si>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</si>
  <si>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</si>
  <si>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</si>
  <si>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</si>
  <si>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</si>
  <si>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</si>
  <si>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</si>
  <si>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</si>
  <si>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</si>
  <si>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</si>
  <si>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</si>
  <si>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</si>
  <si>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</si>
  <si>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</si>
  <si>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</si>
  <si>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</si>
  <si>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</si>
  <si>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</si>
  <si>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</si>
  <si>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</si>
  <si>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</si>
  <si>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</si>
  <si>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</si>
  <si>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</si>
  <si>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</si>
  <si>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</si>
  <si>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</si>
  <si>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</si>
  <si>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</si>
  <si>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</si>
  <si>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</si>
  <si>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</si>
  <si>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</si>
  <si>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</si>
  <si>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</si>
  <si>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</si>
  <si>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</si>
  <si>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</si>
  <si>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</si>
  <si>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</si>
  <si>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</si>
  <si>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</si>
  <si>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</si>
  <si>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</si>
  <si>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</si>
  <si>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</si>
  <si>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</si>
  <si>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</si>
  <si>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</si>
  <si>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</si>
  <si>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</si>
  <si>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</si>
  <si>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</si>
  <si>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</si>
  <si>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</si>
  <si>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</si>
  <si>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</si>
  <si>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</si>
  <si>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</si>
  <si>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</si>
  <si>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</si>
  <si>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</si>
  <si>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</si>
  <si>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</si>
  <si>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</si>
  <si>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</si>
  <si>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</si>
  <si>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</si>
  <si>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</si>
  <si>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</si>
  <si>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</si>
  <si>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</si>
  <si>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</si>
  <si>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</si>
  <si>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</si>
  <si>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</si>
  <si>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</si>
  <si>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</si>
  <si>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</si>
  <si>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</si>
  <si>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</si>
  <si>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</si>
  <si>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</si>
  <si>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</si>
  <si>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</si>
  <si>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</si>
  <si>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</si>
  <si>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</si>
  <si>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</si>
  <si>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</si>
  <si>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</si>
  <si>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</si>
  <si>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</si>
  <si>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</si>
  <si>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</si>
  <si>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</si>
  <si>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</si>
  <si>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</si>
  <si>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</si>
  <si>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</si>
  <si>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</si>
  <si>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</si>
  <si>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</si>
  <si>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</si>
  <si>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</si>
  <si>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</si>
  <si>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</si>
  <si>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</si>
  <si>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</si>
  <si>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</si>
  <si>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</si>
  <si>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</si>
  <si>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</si>
  <si>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</si>
  <si>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</si>
  <si>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</si>
  <si>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</si>
  <si>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</si>
  <si>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</si>
  <si>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</si>
  <si>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</si>
  <si>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</si>
  <si>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</si>
  <si>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</si>
  <si>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</si>
  <si>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</si>
  <si>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</si>
  <si>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</si>
  <si>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</si>
  <si>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</si>
  <si>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</si>
  <si>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</si>
  <si>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</si>
  <si>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</si>
  <si>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</si>
  <si>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</si>
  <si>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</si>
  <si>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</si>
  <si>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</si>
  <si>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</si>
  <si>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</si>
  <si>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</si>
  <si>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</si>
  <si>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</si>
  <si>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</si>
  <si>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</si>
  <si>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</si>
  <si>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</si>
  <si>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</si>
  <si>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</si>
  <si>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</si>
  <si>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</si>
  <si>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</si>
  <si>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</si>
  <si>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</si>
  <si>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</si>
  <si>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</si>
  <si>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</si>
  <si>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</si>
  <si>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</si>
  <si>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</si>
  <si>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</si>
  <si>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</si>
  <si>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</si>
  <si>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</si>
  <si>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</si>
  <si>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</si>
  <si>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</si>
  <si>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</si>
  <si>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</si>
  <si>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</si>
  <si>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</si>
  <si>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</si>
  <si>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</si>
  <si>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</si>
  <si>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</si>
  <si>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</si>
  <si>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</si>
  <si>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</si>
  <si>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</si>
  <si>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</si>
  <si>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</si>
  <si>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</si>
  <si>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</si>
  <si>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</si>
  <si>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</si>
  <si>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</si>
  <si>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</si>
  <si>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</si>
  <si>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</si>
  <si>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</si>
  <si>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</si>
  <si>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</si>
  <si>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</si>
  <si>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</si>
  <si>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</si>
  <si>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</si>
  <si>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</si>
  <si>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</si>
  <si>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</si>
  <si>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</si>
  <si>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</si>
  <si>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</si>
  <si>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</si>
  <si>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</si>
  <si>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</si>
  <si>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</si>
  <si>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</si>
  <si>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</si>
  <si>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</si>
  <si>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</si>
  <si>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</si>
  <si>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</si>
  <si>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</si>
  <si>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</si>
  <si>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</si>
  <si>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</si>
  <si>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</si>
  <si>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</si>
  <si>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</si>
  <si>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</si>
  <si>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</si>
  <si>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</si>
  <si>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</si>
  <si>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</si>
  <si>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</si>
  <si>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</si>
  <si>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</si>
  <si>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</si>
  <si>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</si>
  <si>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</si>
  <si>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</si>
  <si>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</si>
  <si>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</si>
  <si>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</si>
  <si>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</si>
  <si>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</si>
  <si>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</si>
  <si>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</si>
  <si>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</si>
  <si>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</si>
  <si>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</si>
  <si>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</si>
  <si>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</si>
  <si>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</si>
  <si>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</si>
  <si>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</si>
  <si>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</si>
  <si>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</si>
  <si>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</si>
  <si>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</si>
  <si>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</si>
  <si>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</si>
  <si>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</si>
  <si>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</si>
  <si>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</si>
  <si>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</si>
  <si>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</si>
  <si>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</si>
  <si>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</si>
  <si>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</si>
  <si>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</si>
  <si>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</si>
  <si>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</si>
  <si>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</si>
  <si>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</si>
  <si>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</si>
  <si>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</si>
  <si>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</si>
  <si>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</si>
  <si>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</si>
  <si>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</si>
  <si>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</si>
  <si>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</si>
  <si>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</si>
  <si>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</si>
  <si>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</si>
  <si>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</si>
  <si>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</si>
  <si>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</si>
  <si>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</si>
  <si>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</si>
  <si>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</si>
  <si>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</si>
  <si>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</si>
  <si>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</si>
  <si>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</si>
  <si>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</si>
  <si>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</si>
  <si>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</si>
  <si>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</si>
  <si>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</si>
  <si>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</si>
  <si>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</si>
  <si>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</si>
  <si>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</si>
  <si>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</si>
  <si>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</si>
  <si>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</si>
  <si>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</si>
  <si>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</si>
  <si>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</si>
  <si>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</si>
  <si>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</si>
  <si>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</si>
  <si>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</si>
  <si>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</si>
  <si>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</si>
  <si>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</si>
  <si>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</si>
  <si>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</si>
  <si>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</si>
  <si>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</si>
  <si>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</si>
  <si>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</si>
  <si>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</si>
  <si>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</si>
  <si>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</si>
  <si>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</si>
  <si>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</si>
  <si>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</si>
  <si>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</si>
  <si>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</si>
  <si>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</si>
  <si>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</si>
  <si>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</si>
  <si>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</si>
  <si>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</si>
  <si>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</si>
  <si>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</si>
  <si>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</si>
  <si>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</si>
  <si>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</si>
  <si>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</si>
  <si>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</si>
  <si>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</si>
  <si>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</si>
  <si>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</si>
  <si>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</si>
  <si>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</si>
  <si>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</si>
  <si>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</si>
  <si>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</si>
  <si>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</si>
  <si>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</si>
  <si>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</si>
  <si>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</si>
  <si>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</si>
  <si>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</si>
  <si>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</si>
  <si>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</si>
  <si>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</si>
  <si>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</si>
  <si>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</si>
  <si>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</si>
  <si>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</si>
  <si>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</si>
  <si>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</si>
  <si>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</si>
  <si>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</si>
  <si>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</si>
  <si>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</si>
  <si>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</si>
  <si>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</si>
  <si>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</si>
  <si>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</si>
  <si>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</si>
  <si>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</si>
  <si>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</si>
  <si>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</si>
  <si>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</si>
  <si>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</si>
  <si>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</si>
  <si>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</si>
  <si>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</si>
  <si>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</si>
  <si>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</si>
  <si>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</si>
  <si>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</si>
  <si>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</si>
  <si>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</si>
  <si>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</si>
  <si>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</si>
  <si>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</si>
  <si>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</si>
  <si>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</si>
  <si>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</si>
  <si>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</si>
  <si>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</si>
  <si>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</si>
  <si>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</si>
  <si>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</si>
  <si>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</si>
  <si>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</si>
  <si>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</si>
  <si>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</si>
  <si>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</si>
  <si>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</si>
  <si>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</si>
  <si>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</si>
  <si>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</si>
  <si>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</si>
  <si>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</si>
  <si>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</si>
  <si>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</si>
  <si>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</si>
  <si>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</si>
  <si>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</si>
  <si>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</si>
  <si>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</si>
  <si>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</si>
  <si>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</si>
  <si>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</si>
  <si>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</si>
  <si>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</si>
  <si>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</si>
  <si>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</si>
  <si>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</si>
  <si>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</si>
  <si>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</si>
  <si>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</si>
  <si>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</si>
  <si>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</si>
  <si>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</si>
  <si>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</si>
  <si>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</si>
  <si>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</si>
  <si>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</si>
  <si>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</si>
  <si>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</si>
  <si>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</si>
  <si>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</si>
  <si>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</si>
  <si>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</si>
  <si>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</si>
  <si>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</si>
  <si>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</si>
  <si>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</si>
  <si>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</si>
  <si>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</si>
  <si>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</si>
  <si>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</si>
  <si>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</si>
  <si>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</si>
  <si>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</si>
  <si>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</si>
  <si>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</si>
  <si>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</si>
  <si>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</si>
  <si>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</si>
  <si>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</si>
  <si>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</si>
  <si>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</si>
  <si>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</si>
  <si>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</si>
  <si>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</si>
  <si>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</si>
  <si>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</si>
  <si>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</si>
  <si>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</si>
  <si>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</si>
  <si>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</si>
  <si>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</si>
  <si>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</si>
  <si>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</si>
  <si>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</si>
  <si>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</si>
  <si>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</si>
  <si>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</si>
  <si>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</si>
  <si>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</si>
  <si>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</si>
  <si>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</si>
  <si>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</si>
  <si>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</si>
  <si>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</si>
  <si>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</si>
  <si>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</si>
  <si>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</si>
  <si>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</si>
  <si>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</si>
  <si>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</si>
  <si>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</si>
  <si>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</si>
  <si>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</si>
  <si>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</si>
  <si>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</si>
  <si>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</si>
  <si>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</si>
  <si>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</si>
  <si>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</si>
  <si>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</si>
  <si>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</si>
  <si>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</si>
  <si>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</si>
  <si>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</si>
  <si>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</si>
  <si>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</si>
  <si>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</si>
  <si>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</si>
  <si>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</si>
  <si>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</si>
  <si>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</si>
  <si>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</si>
  <si>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</si>
  <si>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</si>
  <si>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</si>
  <si>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</si>
  <si>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</si>
  <si>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</si>
  <si>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</si>
  <si>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</si>
  <si>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</si>
  <si>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</si>
  <si>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</si>
  <si>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</si>
  <si>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</si>
  <si>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</si>
  <si>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</si>
  <si>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</si>
  <si>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</si>
  <si>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</si>
  <si>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</si>
  <si>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</si>
  <si>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</si>
  <si>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</si>
  <si>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</si>
  <si>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</si>
  <si>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</si>
  <si>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</si>
  <si>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</si>
  <si>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</si>
  <si>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</si>
  <si>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</si>
  <si>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</si>
  <si>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</si>
  <si>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</si>
  <si>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</si>
  <si>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</si>
  <si>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</si>
  <si>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</si>
  <si>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</si>
  <si>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</si>
  <si>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</si>
  <si>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</si>
  <si>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</si>
  <si>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</si>
  <si>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</si>
  <si>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</si>
  <si>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</si>
  <si>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</si>
  <si>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</si>
  <si>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</si>
  <si>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</si>
  <si>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</si>
  <si>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</si>
  <si>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</si>
  <si>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</si>
  <si>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</si>
  <si>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</si>
  <si>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</si>
  <si>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</si>
  <si>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</si>
  <si>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</si>
  <si>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</si>
  <si>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</si>
  <si>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</si>
  <si>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</si>
  <si>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</si>
  <si>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</si>
  <si>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</si>
  <si>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</si>
  <si>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</si>
  <si>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</si>
  <si>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</si>
  <si>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</si>
  <si>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</si>
  <si>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</si>
  <si>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</si>
  <si>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</si>
  <si>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</si>
  <si>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</si>
  <si>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</si>
  <si>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</si>
  <si>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</si>
  <si>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</si>
  <si>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</si>
  <si>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</si>
  <si>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</si>
  <si>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</si>
  <si>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</si>
  <si>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</si>
  <si>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</si>
  <si>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</si>
  <si>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</si>
  <si>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</si>
  <si>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</si>
  <si>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</si>
  <si>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</si>
  <si>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</si>
  <si>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</si>
  <si>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</si>
  <si>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</si>
  <si>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</si>
  <si>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</si>
  <si>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</si>
  <si>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</si>
  <si>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</si>
  <si>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</si>
  <si>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</si>
  <si>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</si>
  <si>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</si>
  <si>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</si>
  <si>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</si>
  <si>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</si>
  <si>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</si>
  <si>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</si>
  <si>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</si>
  <si>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</si>
  <si>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</si>
  <si>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</si>
  <si>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</si>
  <si>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</si>
  <si>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</si>
  <si>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</si>
  <si>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</si>
  <si>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</si>
  <si>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</si>
  <si>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</si>
  <si>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</si>
  <si>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</si>
  <si>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</si>
  <si>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</si>
  <si>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</si>
  <si>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</si>
  <si>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</si>
  <si>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</si>
  <si>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</si>
  <si>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</si>
  <si>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</si>
  <si>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</si>
  <si>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</si>
  <si>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</si>
  <si>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</si>
  <si>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</si>
  <si>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</si>
  <si>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</si>
  <si>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</si>
  <si>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</si>
  <si>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</si>
  <si>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</si>
  <si>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</si>
  <si>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</si>
  <si>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</si>
  <si>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</si>
  <si>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</si>
  <si>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</si>
  <si>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</si>
  <si>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</si>
  <si>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</si>
  <si>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</si>
  <si>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</si>
  <si>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</si>
  <si>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</si>
  <si>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</si>
  <si>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</si>
  <si>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</si>
  <si>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</si>
  <si>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</si>
  <si>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</si>
  <si>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</si>
  <si>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</si>
  <si>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</si>
  <si>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</si>
  <si>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</si>
  <si>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</si>
  <si>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</si>
  <si>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</si>
  <si>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</si>
  <si>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</si>
  <si>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</si>
  <si>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</si>
  <si>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</si>
  <si>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</si>
  <si>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</si>
  <si>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</si>
  <si>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</si>
  <si>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</si>
  <si>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</si>
  <si>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</si>
  <si>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</si>
  <si>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</si>
  <si>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</si>
  <si>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</si>
  <si>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</si>
  <si>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</si>
  <si>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</si>
  <si>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</si>
  <si>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</si>
  <si>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</si>
  <si>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</si>
  <si>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</si>
  <si>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</si>
  <si>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</si>
  <si>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</si>
  <si>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</si>
  <si>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</si>
  <si>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</si>
  <si>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</si>
  <si>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</si>
  <si>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</si>
  <si>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</si>
  <si>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</si>
  <si>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</si>
  <si>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</si>
  <si>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</si>
  <si>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</si>
  <si>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</si>
  <si>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</si>
  <si>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</si>
  <si>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</si>
  <si>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</si>
  <si>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</si>
  <si>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</si>
  <si>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</si>
  <si>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</si>
  <si>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</si>
  <si>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</si>
  <si>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</si>
  <si>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</si>
  <si>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</si>
  <si>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</si>
  <si>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</si>
  <si>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</si>
  <si>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</si>
  <si>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</si>
  <si>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</si>
  <si>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</si>
  <si>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</si>
  <si>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</si>
  <si>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</si>
  <si>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</si>
  <si>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</si>
  <si>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</si>
  <si>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</si>
  <si>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</si>
  <si>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</si>
  <si>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</si>
  <si>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</si>
  <si>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</si>
  <si>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</si>
  <si>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</si>
  <si>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</si>
  <si>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</si>
  <si>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</si>
  <si>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</si>
  <si>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</si>
  <si>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</si>
  <si>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</si>
  <si>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</si>
  <si>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</si>
  <si>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</si>
  <si>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</si>
  <si>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</si>
  <si>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</si>
  <si>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</si>
  <si>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</si>
  <si>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</si>
  <si>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</si>
  <si>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</si>
  <si>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</si>
  <si>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</si>
  <si>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</si>
  <si>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</si>
  <si>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</si>
  <si>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</si>
  <si>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</si>
  <si>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</si>
  <si>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</si>
  <si>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</si>
  <si>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</si>
  <si>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</si>
  <si>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</si>
  <si>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</si>
  <si>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</si>
  <si>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</si>
  <si>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</si>
  <si>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</si>
  <si>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</si>
  <si>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</si>
  <si>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</si>
  <si>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</si>
  <si>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</si>
  <si>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</si>
  <si>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</si>
  <si>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</si>
  <si>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</si>
  <si>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</si>
  <si>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</si>
  <si>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</si>
  <si>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</si>
  <si>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</si>
  <si>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</si>
  <si>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</si>
  <si>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</si>
  <si>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</si>
  <si>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</si>
  <si>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</si>
  <si>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</si>
  <si>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</si>
  <si>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</si>
  <si>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</si>
  <si>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</si>
  <si>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</si>
  <si>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</si>
  <si>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</si>
  <si>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</si>
  <si>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</si>
  <si>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</si>
  <si>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</si>
  <si>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</si>
  <si>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</si>
  <si>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</si>
  <si>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</si>
  <si>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</si>
  <si>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</si>
  <si>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</si>
  <si>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</si>
  <si>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</si>
  <si>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</si>
  <si>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</si>
  <si>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</si>
  <si>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</si>
  <si>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</si>
  <si>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</si>
  <si>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</si>
  <si>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</si>
  <si>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</si>
  <si>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</si>
  <si>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</si>
  <si>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</si>
  <si>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</si>
  <si>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</si>
  <si>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</si>
  <si>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</si>
  <si>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</si>
  <si>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</si>
  <si>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</si>
  <si>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</si>
  <si>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</si>
  <si>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</si>
  <si>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</si>
  <si>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</si>
  <si>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</si>
  <si>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</si>
  <si>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</si>
  <si>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</si>
  <si>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</si>
  <si>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</si>
  <si>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</si>
  <si>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</si>
  <si>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</si>
  <si>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</si>
  <si>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</si>
  <si>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</si>
  <si>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</si>
  <si>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</si>
  <si>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</si>
  <si>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</si>
  <si>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</si>
  <si>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</si>
  <si>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</si>
  <si>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</si>
  <si>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</si>
  <si>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</si>
  <si>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</si>
  <si>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</si>
  <si>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</si>
  <si>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</si>
  <si>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</si>
  <si>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</si>
  <si>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</si>
  <si>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</si>
  <si>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</si>
  <si>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</si>
  <si>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</si>
  <si>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</si>
  <si>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</si>
  <si>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</si>
  <si>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</si>
  <si>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</si>
  <si>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</si>
  <si>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</si>
  <si>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</si>
  <si>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</si>
  <si>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</si>
  <si>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</si>
  <si>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</si>
  <si>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</si>
  <si>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</si>
  <si>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</si>
  <si>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</si>
  <si>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</si>
  <si>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</si>
  <si>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</si>
  <si>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</si>
  <si>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</si>
  <si>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</si>
  <si>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</si>
  <si>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</si>
  <si>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</si>
  <si>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</si>
  <si>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</si>
  <si>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</si>
  <si>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</si>
  <si>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</si>
  <si>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</si>
  <si>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</si>
  <si>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</si>
  <si>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</si>
  <si>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</si>
  <si>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</si>
  <si>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</si>
  <si>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</si>
  <si>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</si>
  <si>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</si>
  <si>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</si>
  <si>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</si>
  <si>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</si>
  <si>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</si>
  <si>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</si>
  <si>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</si>
  <si>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</si>
  <si>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</si>
  <si>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</si>
  <si>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</si>
  <si>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</si>
  <si>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</si>
  <si>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</si>
  <si>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</si>
  <si>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</si>
  <si>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</si>
  <si>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</si>
  <si>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</si>
  <si>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</si>
  <si>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</si>
  <si>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</si>
  <si>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</si>
  <si>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</si>
  <si>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</si>
  <si>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</si>
  <si>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</si>
  <si>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</si>
  <si>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</si>
  <si>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</si>
  <si>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</si>
  <si>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</si>
  <si>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</si>
  <si>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</si>
  <si>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</si>
  <si>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</si>
  <si>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</si>
  <si>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</si>
  <si>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</si>
  <si>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</si>
  <si>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</si>
  <si>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</si>
  <si>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</si>
  <si>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</si>
  <si>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</si>
  <si>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</si>
  <si>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</si>
  <si>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</si>
  <si>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</si>
  <si>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</si>
  <si>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</si>
  <si>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</si>
  <si>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</si>
  <si>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</si>
  <si>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</si>
  <si>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</si>
  <si>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</si>
  <si>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</si>
  <si>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</si>
  <si>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</si>
  <si>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</si>
  <si>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</si>
  <si>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</si>
  <si>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</si>
  <si>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</si>
  <si>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</si>
  <si>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</si>
  <si>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</si>
  <si>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</si>
  <si>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</si>
  <si>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</si>
  <si>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</si>
  <si>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</si>
  <si>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</si>
  <si>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</si>
  <si>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</si>
  <si>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</si>
  <si>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</si>
  <si>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</si>
  <si>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</si>
  <si>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</si>
  <si>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</si>
  <si>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</si>
  <si>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</si>
  <si>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</si>
  <si>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</si>
  <si>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</si>
  <si>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</si>
  <si>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</si>
  <si>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</si>
  <si>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</si>
  <si>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</si>
  <si>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</si>
  <si>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</si>
  <si>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</si>
  <si>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</si>
  <si>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</si>
  <si>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</si>
  <si>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</si>
  <si>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</si>
  <si>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</si>
  <si>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</si>
  <si>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</si>
  <si>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</si>
  <si>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</si>
  <si>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</si>
  <si>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</si>
  <si>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</si>
  <si>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</si>
  <si>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</si>
  <si>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</si>
  <si>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</si>
  <si>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</si>
  <si>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</si>
  <si>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</si>
  <si>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</si>
  <si>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</si>
  <si>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</si>
  <si>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</si>
  <si>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</si>
  <si>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</si>
  <si>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</si>
  <si>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</si>
  <si>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</si>
  <si>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</si>
  <si>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</si>
  <si>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</si>
  <si>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</si>
  <si>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</si>
  <si>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</si>
  <si>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</si>
  <si>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</si>
  <si>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</si>
  <si>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</si>
  <si>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</si>
  <si>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</si>
  <si>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</si>
  <si>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</si>
  <si>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</si>
  <si>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</si>
  <si>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</si>
  <si>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</si>
  <si>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</si>
  <si>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</si>
  <si>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</si>
  <si>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</si>
  <si>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</si>
  <si>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</si>
  <si>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</si>
  <si>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</si>
  <si>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</si>
  <si>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</si>
  <si>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</si>
  <si>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</si>
  <si>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</si>
  <si>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</si>
  <si>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</si>
  <si>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</si>
  <si>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</si>
  <si>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</si>
  <si>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</si>
  <si>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</si>
  <si>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</si>
  <si>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</si>
  <si>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</si>
  <si>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</si>
  <si>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</si>
  <si>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</si>
  <si>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</si>
  <si>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</si>
  <si>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</si>
  <si>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</si>
  <si>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</si>
  <si>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</si>
  <si>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</si>
  <si>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</si>
  <si>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</si>
  <si>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</si>
  <si>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</si>
  <si>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</si>
  <si>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</si>
  <si>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</si>
  <si>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</si>
  <si>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</si>
  <si>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</si>
  <si>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</si>
  <si>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</si>
  <si>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</si>
  <si>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</si>
  <si>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</si>
  <si>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</si>
  <si>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</si>
  <si>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</si>
  <si>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</si>
  <si>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</si>
  <si>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</si>
  <si>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</si>
  <si>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</si>
  <si>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</si>
  <si>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</si>
  <si>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</si>
  <si>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</si>
  <si>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</si>
  <si>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</si>
  <si>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</si>
  <si>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</si>
  <si>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</si>
  <si>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</si>
  <si>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</si>
  <si>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</si>
  <si>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</si>
  <si>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</si>
  <si>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</si>
  <si>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</si>
  <si>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</si>
  <si>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</si>
  <si>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</si>
  <si>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</si>
  <si>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</si>
  <si>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</si>
  <si>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</si>
  <si>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</si>
  <si>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</si>
  <si>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</si>
  <si>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</si>
  <si>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</si>
  <si>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</si>
  <si>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</si>
  <si>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</si>
  <si>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</si>
  <si>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</si>
  <si>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</si>
  <si>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</si>
  <si>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</si>
  <si>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</si>
  <si>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</si>
  <si>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</si>
  <si>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</si>
  <si>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</si>
  <si>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</si>
  <si>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</si>
  <si>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</si>
  <si>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</si>
  <si>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</si>
  <si>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</si>
  <si>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</si>
  <si>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</si>
  <si>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</si>
  <si>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</si>
  <si>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</si>
  <si>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</si>
  <si>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</si>
  <si>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</si>
  <si>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</si>
  <si>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</si>
  <si>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</si>
  <si>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</si>
  <si>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</si>
  <si>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</si>
  <si>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</si>
  <si>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</si>
  <si>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</si>
  <si>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</si>
  <si>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</si>
  <si>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</si>
  <si>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</si>
  <si>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</si>
  <si>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</si>
  <si>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</si>
  <si>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</si>
  <si>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</si>
  <si>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</si>
  <si>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</si>
  <si>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</si>
  <si>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</si>
  <si>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</si>
  <si>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</si>
  <si>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</si>
  <si>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</si>
  <si>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</si>
  <si>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</si>
  <si>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</si>
  <si>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</si>
  <si>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</si>
  <si>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</si>
  <si>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</si>
  <si>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</si>
  <si>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</si>
  <si>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</si>
  <si>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</si>
  <si>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</si>
  <si>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</si>
  <si>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</si>
  <si>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</si>
  <si>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</si>
  <si>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</si>
  <si>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</si>
  <si>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</si>
  <si>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</si>
  <si>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</si>
  <si>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</si>
  <si>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</si>
  <si>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</si>
  <si>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</si>
  <si>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</si>
  <si>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</si>
  <si>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</si>
  <si>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</si>
  <si>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</si>
  <si>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</si>
  <si>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</si>
  <si>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</si>
  <si>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</si>
  <si>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</si>
  <si>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</si>
  <si>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</si>
  <si>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</si>
  <si>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</si>
  <si>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</si>
  <si>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</si>
  <si>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</si>
  <si>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</si>
  <si>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</si>
  <si>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</si>
  <si>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</si>
  <si>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</si>
  <si>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</si>
  <si>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</si>
  <si>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</si>
  <si>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</si>
  <si>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</si>
  <si>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</si>
  <si>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</si>
  <si>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</si>
  <si>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</si>
  <si>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</si>
  <si>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</si>
  <si>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</si>
  <si>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</si>
  <si>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</si>
  <si>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</si>
  <si>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</si>
  <si>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</si>
  <si>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</si>
  <si>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</si>
  <si>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</si>
  <si>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</si>
  <si>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</si>
  <si>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</si>
  <si>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</si>
  <si>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</si>
  <si>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</si>
  <si>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</si>
  <si>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</si>
  <si>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</si>
  <si>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</si>
  <si>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</si>
  <si>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</si>
  <si>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</si>
  <si>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</si>
  <si>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</si>
  <si>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</si>
  <si>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</si>
  <si>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</si>
  <si>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</si>
  <si>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</si>
  <si>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</si>
  <si>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</si>
  <si>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</si>
  <si>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</si>
  <si>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</si>
  <si>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</si>
  <si>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</si>
  <si>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</si>
  <si>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</si>
  <si>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</si>
  <si>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</si>
  <si>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</si>
  <si>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</si>
  <si>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</si>
  <si>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</si>
  <si>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</si>
  <si>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</si>
  <si>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</si>
  <si>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</si>
  <si>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</si>
  <si>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</si>
  <si>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</si>
  <si>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</si>
  <si>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</si>
  <si>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</si>
  <si>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</si>
  <si>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</si>
  <si>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</si>
  <si>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</si>
  <si>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</si>
  <si>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</si>
  <si>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</si>
  <si>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</si>
  <si>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</si>
  <si>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</si>
  <si>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</si>
  <si>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</si>
  <si>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</si>
  <si>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</si>
  <si>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</si>
  <si>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</si>
  <si>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</si>
  <si>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</si>
  <si>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</si>
  <si>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</si>
  <si>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</si>
  <si>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</si>
  <si>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</si>
  <si>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</si>
  <si>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</si>
  <si>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</si>
  <si>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</si>
  <si>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</si>
  <si>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</si>
  <si>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</si>
  <si>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</si>
  <si>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</si>
  <si>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</si>
  <si>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</si>
  <si>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</si>
  <si>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</si>
  <si>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</si>
  <si>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</si>
  <si>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</si>
  <si>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</si>
  <si>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</si>
  <si>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</si>
  <si>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</si>
  <si>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</si>
  <si>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</si>
  <si>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</si>
  <si>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</si>
  <si>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</si>
  <si>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</si>
  <si>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</si>
  <si>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</si>
  <si>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</si>
  <si>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</si>
  <si>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</si>
  <si>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</si>
  <si>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</si>
  <si>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</si>
  <si>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</si>
  <si>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</si>
  <si>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</si>
  <si>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</si>
  <si>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</si>
  <si>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</si>
  <si>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</si>
  <si>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</si>
  <si>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</si>
  <si>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</si>
  <si>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</si>
  <si>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</si>
  <si>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</si>
  <si>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</si>
  <si>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</si>
  <si>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</si>
  <si>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</si>
  <si>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</si>
  <si>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</si>
  <si>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</si>
  <si>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</si>
  <si>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</si>
  <si>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</si>
  <si>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</si>
  <si>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</si>
  <si>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</si>
  <si>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</si>
  <si>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</si>
  <si>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</si>
  <si>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</si>
  <si>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</si>
  <si>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</si>
  <si>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</si>
  <si>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</si>
  <si>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</si>
  <si>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</si>
  <si>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</si>
  <si>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</si>
  <si>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</si>
  <si>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</si>
  <si>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</si>
  <si>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</si>
  <si>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</si>
  <si>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</si>
  <si>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</si>
  <si>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</si>
  <si>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</si>
  <si>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</si>
  <si>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</si>
  <si>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</si>
  <si>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</si>
  <si>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</si>
  <si>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</si>
  <si>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</si>
  <si>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</si>
  <si>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</si>
  <si>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</si>
  <si>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</si>
  <si>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</si>
  <si>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</si>
  <si>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</si>
  <si>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</si>
  <si>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</si>
  <si>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</si>
  <si>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</si>
  <si>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</si>
  <si>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</si>
  <si>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</si>
  <si>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</si>
  <si>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</si>
  <si>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</si>
  <si>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</si>
  <si>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</si>
  <si>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</si>
  <si>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</si>
  <si>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</si>
  <si>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</si>
  <si>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</si>
  <si>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</si>
  <si>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</si>
  <si>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</si>
  <si>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</si>
  <si>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</si>
  <si>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</si>
  <si>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</si>
  <si>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</si>
  <si>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</si>
  <si>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</si>
  <si>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</si>
  <si>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</si>
  <si>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</si>
  <si>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</si>
  <si>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</si>
  <si>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</si>
  <si>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</si>
  <si>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</si>
  <si>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</si>
  <si>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</si>
  <si>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</si>
  <si>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</si>
  <si>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</si>
  <si>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</si>
  <si>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</si>
  <si>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</si>
  <si>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</si>
  <si>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</si>
  <si>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</si>
  <si>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</si>
  <si>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</si>
  <si>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</si>
  <si>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</si>
  <si>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</si>
  <si>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</si>
  <si>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</si>
  <si>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</si>
  <si>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</si>
  <si>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</si>
  <si>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</si>
  <si>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</si>
  <si>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</si>
  <si>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</si>
  <si>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</si>
  <si>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</si>
  <si>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</si>
  <si>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</si>
  <si>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</si>
  <si>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</si>
  <si>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</si>
  <si>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</si>
  <si>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</si>
  <si>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</si>
  <si>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</si>
  <si>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</si>
  <si>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</si>
  <si>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</si>
  <si>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</si>
  <si>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</si>
  <si>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</si>
  <si>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</si>
  <si>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</si>
  <si>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</si>
  <si>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</si>
  <si>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</si>
  <si>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</si>
  <si>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</si>
  <si>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</si>
  <si>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</si>
  <si>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</si>
  <si>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</si>
  <si>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</si>
  <si>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</si>
  <si>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</si>
  <si>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</si>
  <si>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</si>
  <si>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</si>
  <si>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</si>
  <si>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</si>
  <si>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</si>
  <si>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</si>
  <si>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</si>
  <si>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</si>
  <si>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</si>
  <si>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</si>
  <si>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</si>
  <si>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</si>
  <si>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</si>
  <si>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</si>
  <si>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</si>
  <si>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</si>
  <si>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</si>
  <si>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</si>
  <si>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</si>
  <si>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</si>
  <si>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</si>
  <si>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</si>
  <si>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</si>
  <si>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</si>
  <si>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</si>
  <si>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</si>
  <si>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</si>
  <si>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</si>
  <si>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</si>
  <si>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</si>
  <si>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</si>
  <si>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</si>
  <si>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</si>
  <si>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</si>
  <si>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</si>
  <si>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</si>
  <si>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</si>
  <si>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</si>
  <si>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</si>
  <si>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</si>
  <si>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</si>
  <si>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</si>
  <si>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</si>
  <si>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</si>
  <si>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</si>
  <si>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</si>
  <si>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</si>
  <si>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</si>
  <si>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</si>
  <si>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</si>
  <si>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</si>
  <si>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</si>
  <si>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</si>
  <si>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</si>
  <si>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</si>
  <si>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</si>
  <si>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</si>
  <si>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</si>
  <si>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</si>
  <si>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</si>
  <si>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</si>
  <si>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</si>
  <si>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</si>
  <si>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</si>
  <si>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</si>
  <si>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</si>
  <si>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</si>
  <si>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</si>
  <si>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</si>
  <si>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</si>
  <si>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</si>
  <si>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</si>
  <si>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</si>
  <si>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</si>
  <si>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</si>
  <si>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</si>
  <si>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</si>
  <si>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</si>
  <si>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</si>
  <si>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</si>
  <si>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</si>
  <si>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</si>
  <si>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</si>
  <si>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</si>
  <si>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</si>
  <si>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</si>
  <si>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</si>
  <si>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</si>
  <si>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</si>
  <si>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</si>
  <si>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</si>
  <si>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</si>
  <si>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</si>
  <si>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</si>
  <si>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</si>
  <si>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</si>
  <si>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</si>
  <si>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</si>
  <si>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</si>
  <si>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</si>
  <si>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</si>
  <si>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</si>
  <si>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</si>
  <si>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</si>
  <si>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</si>
  <si>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</si>
  <si>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</si>
  <si>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</si>
  <si>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</si>
  <si>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</si>
  <si>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</si>
  <si>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</si>
  <si>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</si>
  <si>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</si>
  <si>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</si>
  <si>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</si>
  <si>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</si>
  <si>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</si>
  <si>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</si>
  <si>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</si>
  <si>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</si>
  <si>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</si>
  <si>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</si>
  <si>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</si>
  <si>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</si>
  <si>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</si>
  <si>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</si>
  <si>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</si>
  <si>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</si>
  <si>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</si>
  <si>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</si>
  <si>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</si>
  <si>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</si>
  <si>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</si>
  <si>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</si>
  <si>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</si>
  <si>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</si>
  <si>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</si>
  <si>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</si>
  <si>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</si>
  <si>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</si>
  <si>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</si>
  <si>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</si>
  <si>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</si>
  <si>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</si>
  <si>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</si>
  <si>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</si>
  <si>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</si>
  <si>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</si>
  <si>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</si>
  <si>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</si>
  <si>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</si>
  <si>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</si>
  <si>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</si>
  <si>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</si>
  <si>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</si>
  <si>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</si>
  <si>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</si>
  <si>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</si>
  <si>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</si>
  <si>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</si>
  <si>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</si>
  <si>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</si>
  <si>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</si>
  <si>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</si>
  <si>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</si>
  <si>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</si>
  <si>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</si>
  <si>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</si>
  <si>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</si>
  <si>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</si>
  <si>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</si>
  <si>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</si>
  <si>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</si>
  <si>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</si>
  <si>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</si>
  <si>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</si>
  <si>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</si>
  <si>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</si>
  <si>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</si>
  <si>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</si>
  <si>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</si>
  <si>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</si>
  <si>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</si>
  <si>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</si>
  <si>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</si>
  <si>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</si>
  <si>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</si>
  <si>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</si>
  <si>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</si>
  <si>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</si>
  <si>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</si>
  <si>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</si>
  <si>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</si>
  <si>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</si>
  <si>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</si>
  <si>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</si>
  <si>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</si>
  <si>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</si>
  <si>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</si>
  <si>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</si>
  <si>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</si>
  <si>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</si>
  <si>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</si>
  <si>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</si>
  <si>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</si>
  <si>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</si>
  <si>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</si>
  <si>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</si>
  <si>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</si>
  <si>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</si>
  <si>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</si>
  <si>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</si>
  <si>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</si>
  <si>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</si>
  <si>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</si>
  <si>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</si>
  <si>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</si>
  <si>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</si>
  <si>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</si>
  <si>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</si>
  <si>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</si>
  <si>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</si>
  <si>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</si>
  <si>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</si>
  <si>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</si>
  <si>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</si>
  <si>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</si>
  <si>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</si>
  <si>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</si>
  <si>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</si>
  <si>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</si>
  <si>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</si>
  <si>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</si>
  <si>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</si>
  <si>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</si>
  <si>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</si>
  <si>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</si>
  <si>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</si>
  <si>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</si>
  <si>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</si>
  <si>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</si>
  <si>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</si>
  <si>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</si>
  <si>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</si>
  <si>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</si>
  <si>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</si>
  <si>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</si>
  <si>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</si>
  <si>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</si>
  <si>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</si>
  <si>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</si>
  <si>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</si>
  <si>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</si>
  <si>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</si>
  <si>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</si>
  <si>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</si>
  <si>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</si>
  <si>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</si>
  <si>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</si>
  <si>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</si>
  <si>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</si>
  <si>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</si>
  <si>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</si>
  <si>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</si>
  <si>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</si>
  <si>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</si>
  <si>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</si>
  <si>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</si>
  <si>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</si>
  <si>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</si>
  <si>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</si>
  <si>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</si>
  <si>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</si>
  <si>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</si>
  <si>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</si>
  <si>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</si>
  <si>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</si>
  <si>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</si>
  <si>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</si>
  <si>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</si>
  <si>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</si>
  <si>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</si>
  <si>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</si>
  <si>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</si>
  <si>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</si>
  <si>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</si>
  <si>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</si>
  <si>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</si>
  <si>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</si>
  <si>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</si>
  <si>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</si>
  <si>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</si>
  <si>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</si>
  <si>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</si>
  <si>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</si>
  <si>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</si>
  <si>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</si>
  <si>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</si>
  <si>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</si>
  <si>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</si>
  <si>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</si>
  <si>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</si>
  <si>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</si>
  <si>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</si>
  <si>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</si>
  <si>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</si>
  <si>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</si>
  <si>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</si>
  <si>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</si>
  <si>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</si>
  <si>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</si>
  <si>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</si>
  <si>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</si>
  <si>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</si>
  <si>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</si>
  <si>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</si>
  <si>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</si>
  <si>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</si>
  <si>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</si>
  <si>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</si>
  <si>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</si>
  <si>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</si>
  <si>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</si>
  <si>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</si>
  <si>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</si>
  <si>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</si>
  <si>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</si>
  <si>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</si>
  <si>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</si>
  <si>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</si>
  <si>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</si>
  <si>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</si>
  <si>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</si>
  <si>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</si>
  <si>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</si>
  <si>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</si>
  <si>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</si>
  <si>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</si>
  <si>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</si>
  <si>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</si>
  <si>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</si>
  <si>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</si>
  <si>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</si>
  <si>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</si>
  <si>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</si>
  <si>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</si>
  <si>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</si>
  <si>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</si>
  <si>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</si>
  <si>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</si>
  <si>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</si>
  <si>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</si>
  <si>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</si>
  <si>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</si>
  <si>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</si>
  <si>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</si>
  <si>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</si>
  <si>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</si>
  <si>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</si>
  <si>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</si>
  <si>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</si>
  <si>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</si>
  <si>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</si>
  <si>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</si>
  <si>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</si>
  <si>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</si>
  <si>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</si>
  <si>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</si>
  <si>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</si>
  <si>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</si>
  <si>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</si>
  <si>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</si>
  <si>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</si>
  <si>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</si>
  <si>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</si>
  <si>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</si>
  <si>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</si>
  <si>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</si>
  <si>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</si>
  <si>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</si>
  <si>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</si>
  <si>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</si>
  <si>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</si>
  <si>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</si>
  <si>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</si>
  <si>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</si>
  <si>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</si>
  <si>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</si>
  <si>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</si>
  <si>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</si>
  <si>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</si>
  <si>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</si>
  <si>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</si>
  <si>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</si>
  <si>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</si>
  <si>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</si>
  <si>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</si>
  <si>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</si>
  <si>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</si>
  <si>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</si>
  <si>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</si>
  <si>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</si>
  <si>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</si>
  <si>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</si>
  <si>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</si>
  <si>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</si>
  <si>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</si>
  <si>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</si>
  <si>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</si>
  <si>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</si>
  <si>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</si>
  <si>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</si>
  <si>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</si>
  <si>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</si>
  <si>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</si>
  <si>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</si>
  <si>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</si>
  <si>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</si>
  <si>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</si>
  <si>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</si>
  <si>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</si>
  <si>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</si>
  <si>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</si>
  <si>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</si>
  <si>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</si>
  <si>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</si>
  <si>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</si>
  <si>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</si>
  <si>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</si>
  <si>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</si>
  <si>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</si>
  <si>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</si>
  <si>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</si>
  <si>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</si>
  <si>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</si>
  <si>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</si>
  <si>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</si>
  <si>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</si>
  <si>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</si>
  <si>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</si>
  <si>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</si>
  <si>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</si>
  <si>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</si>
  <si>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</si>
  <si>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</si>
  <si>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</si>
  <si>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</si>
  <si>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</si>
  <si>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</si>
  <si>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</si>
  <si>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</si>
  <si>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</si>
  <si>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</si>
  <si>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</si>
  <si>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</si>
  <si>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</si>
  <si>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</si>
  <si>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</si>
  <si>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</si>
  <si>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</si>
  <si>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</si>
  <si>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</si>
  <si>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</si>
  <si>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</si>
  <si>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</si>
  <si>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</si>
  <si>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</si>
  <si>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</si>
  <si>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</si>
  <si>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</si>
  <si>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</si>
  <si>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</si>
  <si>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</si>
  <si>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</si>
  <si>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</si>
  <si>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</si>
  <si>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</si>
  <si>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</si>
  <si>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</si>
  <si>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</si>
  <si>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</si>
  <si>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</si>
  <si>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</si>
  <si>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</si>
  <si>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</si>
  <si>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</si>
  <si>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</si>
  <si>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</si>
  <si>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</si>
  <si>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</si>
  <si>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</si>
  <si>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</si>
  <si>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</si>
  <si>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</si>
  <si>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</si>
  <si>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</si>
  <si>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</si>
  <si>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</si>
  <si>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</si>
  <si>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</si>
  <si>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</si>
  <si>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</si>
  <si>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</si>
  <si>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</si>
  <si>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</si>
  <si>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</si>
  <si>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</si>
  <si>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</si>
  <si>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</si>
  <si>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</si>
  <si>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</si>
  <si>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</si>
  <si>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</si>
  <si>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</si>
  <si>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</si>
  <si>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</si>
  <si>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</si>
  <si>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</si>
  <si>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</si>
  <si>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</si>
  <si>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</si>
  <si>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</si>
  <si>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</si>
  <si>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</si>
  <si>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</si>
  <si>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</si>
  <si>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</si>
  <si>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</si>
  <si>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</si>
  <si>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</si>
  <si>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</si>
  <si>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</si>
  <si>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</si>
  <si>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</si>
  <si>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</si>
  <si>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</si>
  <si>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</si>
  <si>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</si>
  <si>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</si>
  <si>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</si>
  <si>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</si>
  <si>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</si>
  <si>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</si>
  <si>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</si>
  <si>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</si>
  <si>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</si>
  <si>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</si>
  <si>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</si>
  <si>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</si>
  <si>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</si>
  <si>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</si>
  <si>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</si>
  <si>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</si>
  <si>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</si>
  <si>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</si>
  <si>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</si>
  <si>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</si>
  <si>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</si>
  <si>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</si>
  <si>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</si>
  <si>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</si>
  <si>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</si>
  <si>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</si>
  <si>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</si>
  <si>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</si>
  <si>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</si>
  <si>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</si>
  <si>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</si>
  <si>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</si>
  <si>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</si>
  <si>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</si>
  <si>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</si>
  <si>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</si>
  <si>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</si>
  <si>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</si>
  <si>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</si>
  <si>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</si>
  <si>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</si>
  <si>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</si>
  <si>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</si>
  <si>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</si>
  <si>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</si>
  <si>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</si>
  <si>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</si>
  <si>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</si>
  <si>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</si>
  <si>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</si>
  <si>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</si>
  <si>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</si>
  <si>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</si>
  <si>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</si>
  <si>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</si>
  <si>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</si>
  <si>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</si>
  <si>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</si>
  <si>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</si>
  <si>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</si>
  <si>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</si>
  <si>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</si>
  <si>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</si>
  <si>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</si>
  <si>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</si>
  <si>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</si>
  <si>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</si>
  <si>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</si>
  <si>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</si>
  <si>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</si>
  <si>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</si>
  <si>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</si>
  <si>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</si>
  <si>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</si>
  <si>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</si>
  <si>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</si>
  <si>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</si>
  <si>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</si>
  <si>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</si>
  <si>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</si>
  <si>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</si>
  <si>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</si>
  <si>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</si>
  <si>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</si>
  <si>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</si>
  <si>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</si>
  <si>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</si>
  <si>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</si>
  <si>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</si>
  <si>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</si>
  <si>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</si>
  <si>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</si>
  <si>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</si>
  <si>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</si>
  <si>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</si>
  <si>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</si>
  <si>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</si>
  <si>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</si>
  <si>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</si>
  <si>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</si>
  <si>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</si>
  <si>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</si>
  <si>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</si>
  <si>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</si>
  <si>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</si>
  <si>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</si>
  <si>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</si>
  <si>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</si>
  <si>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</si>
  <si>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</si>
  <si>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</si>
  <si>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</si>
  <si>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</si>
  <si>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</si>
  <si>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</si>
  <si>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</si>
  <si>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</si>
  <si>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</si>
  <si>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</si>
  <si>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</si>
  <si>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</si>
  <si>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</si>
  <si>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</si>
  <si>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</si>
  <si>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</si>
  <si>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</si>
  <si>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</si>
  <si>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</si>
  <si>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</si>
  <si>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</si>
  <si>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</si>
  <si>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</si>
  <si>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</si>
  <si>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</si>
  <si>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</si>
  <si>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</si>
  <si>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</si>
  <si>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</si>
  <si>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</si>
  <si>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</si>
  <si>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</si>
  <si>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</si>
  <si>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</si>
  <si>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</si>
  <si>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</si>
  <si>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</si>
  <si>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</si>
  <si>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</si>
  <si>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</si>
  <si>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</si>
  <si>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</si>
  <si>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</si>
  <si>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</si>
  <si>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</si>
  <si>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</si>
  <si>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</si>
  <si>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</si>
  <si>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</si>
  <si>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</si>
  <si>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</si>
  <si>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</si>
  <si>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</si>
  <si>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</si>
  <si>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</si>
  <si>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</si>
  <si>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</si>
  <si>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</si>
  <si>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</si>
  <si>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</si>
  <si>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</si>
  <si>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</si>
  <si>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</si>
  <si>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</si>
  <si>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</si>
  <si>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</si>
  <si>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</si>
  <si>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</si>
  <si>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</si>
  <si>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</si>
  <si>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</si>
  <si>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</si>
  <si>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</si>
  <si>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</si>
  <si>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</si>
  <si>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</si>
  <si>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</si>
  <si>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</si>
  <si>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</si>
  <si>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</si>
  <si>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</si>
  <si>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</si>
  <si>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</si>
  <si>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</si>
  <si>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</si>
  <si>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</si>
  <si>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</si>
  <si>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</si>
  <si>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</si>
  <si>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</si>
  <si>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</si>
  <si>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</si>
  <si>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</si>
  <si>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</si>
  <si>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</si>
  <si>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</si>
  <si>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</si>
  <si>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</si>
  <si>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</si>
  <si>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</si>
  <si>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</si>
  <si>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</si>
  <si>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</si>
  <si>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</si>
  <si>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</si>
  <si>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</si>
  <si>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</si>
  <si>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</si>
  <si>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</si>
  <si>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</si>
  <si>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</si>
  <si>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</si>
  <si>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</si>
  <si>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</si>
  <si>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</si>
  <si>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</si>
  <si>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</si>
  <si>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</si>
  <si>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</si>
  <si>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</si>
  <si>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</si>
  <si>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</si>
  <si>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</si>
  <si>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</si>
  <si>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</si>
  <si>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</si>
  <si>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</si>
  <si>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</si>
  <si>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</si>
  <si>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</si>
  <si>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</si>
  <si>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</si>
  <si>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</si>
  <si>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</si>
  <si>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</si>
  <si>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</si>
  <si>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</si>
  <si>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</si>
  <si>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</si>
  <si>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</si>
  <si>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</si>
  <si>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</si>
  <si>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</si>
  <si>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</si>
  <si>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</si>
  <si>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</si>
  <si>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</si>
  <si>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</si>
  <si>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</si>
  <si>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</si>
  <si>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</si>
  <si>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</si>
  <si>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</si>
  <si>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</si>
  <si>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</si>
  <si>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</si>
  <si>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</si>
  <si>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</si>
  <si>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</si>
  <si>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</si>
  <si>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</si>
  <si>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</si>
  <si>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</si>
  <si>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</si>
  <si>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</si>
  <si>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</si>
  <si>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</si>
  <si>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</si>
  <si>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</si>
  <si>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</si>
  <si>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</si>
  <si>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</si>
  <si>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</si>
  <si>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</si>
  <si>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</si>
  <si>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</si>
  <si>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</si>
  <si>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</si>
  <si>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</si>
  <si>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</si>
  <si>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</si>
  <si>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</si>
  <si>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</si>
  <si>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</si>
  <si>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</si>
  <si>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</si>
  <si>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</si>
  <si>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</si>
  <si>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</si>
  <si>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</si>
  <si>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</si>
  <si>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</si>
  <si>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</si>
  <si>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</si>
  <si>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</si>
  <si>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</si>
  <si>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</si>
  <si>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</si>
  <si>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</si>
  <si>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</si>
  <si>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</si>
  <si>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</si>
  <si>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</si>
  <si>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</si>
  <si>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</si>
  <si>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</si>
  <si>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</si>
  <si>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</si>
  <si>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</si>
  <si>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</si>
  <si>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</si>
  <si>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</si>
  <si>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</si>
  <si>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</si>
  <si>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</si>
  <si>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</si>
  <si>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</si>
  <si>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</si>
  <si>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</si>
  <si>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</si>
  <si>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</si>
  <si>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</si>
  <si>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</si>
  <si>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</si>
  <si>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</si>
  <si>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</si>
  <si>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</si>
  <si>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</si>
  <si>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</si>
  <si>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</si>
  <si>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</si>
  <si>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</si>
  <si>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</si>
  <si>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</si>
  <si>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</si>
  <si>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</si>
  <si>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</si>
  <si>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</si>
  <si>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</si>
  <si>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</si>
  <si>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</si>
  <si>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</si>
  <si>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</si>
  <si>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</si>
  <si>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</si>
  <si>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</si>
  <si>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</si>
  <si>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</si>
  <si>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</si>
  <si>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</si>
  <si>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</si>
  <si>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</si>
  <si>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</si>
  <si>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</si>
  <si>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</si>
  <si>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</si>
  <si>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</si>
  <si>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</si>
  <si>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</si>
  <si>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</si>
  <si>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</si>
  <si>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</si>
  <si>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</si>
  <si>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</si>
  <si>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</si>
  <si>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</si>
  <si>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</si>
  <si>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</si>
  <si>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</si>
  <si>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</si>
  <si>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</si>
  <si>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</si>
  <si>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</si>
  <si>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</si>
  <si>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</si>
  <si>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</si>
  <si>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</si>
  <si>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</si>
  <si>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</si>
  <si>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</si>
  <si>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</si>
  <si>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</si>
  <si>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</si>
  <si>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</si>
  <si>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</si>
  <si>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</si>
  <si>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</si>
  <si>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</si>
  <si>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</si>
  <si>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</si>
  <si>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</si>
  <si>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</si>
  <si>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</si>
  <si>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</si>
  <si>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</si>
  <si>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</si>
  <si>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</si>
  <si>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</si>
  <si>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</si>
  <si>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</si>
  <si>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</si>
  <si>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</si>
  <si>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</si>
  <si>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</si>
  <si>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</si>
  <si>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</si>
  <si>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</si>
  <si>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</si>
  <si>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</si>
  <si>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</si>
  <si>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</si>
  <si>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</si>
  <si>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</si>
  <si>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</si>
  <si>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</si>
  <si>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</si>
  <si>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</si>
  <si>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</si>
  <si>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</si>
  <si>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</si>
  <si>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</si>
  <si>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</si>
  <si>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</si>
  <si>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</si>
  <si>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</si>
  <si>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</si>
  <si>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</si>
  <si>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</si>
  <si>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</si>
  <si>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</si>
  <si>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</si>
  <si>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</si>
  <si>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</si>
  <si>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</si>
  <si>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</si>
  <si>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</si>
  <si>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</si>
  <si>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</si>
  <si>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</si>
  <si>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</si>
  <si>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</si>
  <si>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</si>
  <si>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</si>
  <si>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</si>
  <si>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</si>
  <si>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</si>
  <si>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</si>
  <si>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</si>
  <si>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</si>
  <si>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</si>
  <si>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</si>
  <si>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</si>
  <si>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</si>
  <si>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</si>
  <si>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</si>
  <si>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</si>
  <si>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</si>
  <si>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</si>
  <si>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</si>
  <si>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</si>
  <si>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</si>
  <si>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</si>
  <si>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</si>
  <si>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</si>
  <si>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</si>
  <si>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</si>
  <si>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</si>
  <si>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</si>
  <si>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</si>
  <si>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</si>
  <si>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</si>
  <si>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</si>
  <si>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</si>
  <si>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</si>
  <si>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</si>
  <si>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</si>
  <si>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</si>
  <si>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</si>
  <si>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</si>
  <si>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</si>
  <si>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</si>
  <si>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</si>
  <si>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</si>
  <si>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</si>
  <si>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</si>
  <si>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</si>
  <si>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</si>
  <si>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</si>
  <si>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</si>
  <si>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</si>
  <si>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</si>
  <si>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</si>
  <si>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</si>
  <si>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</si>
  <si>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</si>
  <si>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</si>
  <si>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</si>
  <si>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</si>
  <si>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</si>
  <si>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</si>
  <si>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</si>
  <si>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</si>
  <si>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</si>
  <si>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</si>
  <si>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</si>
  <si>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</si>
  <si>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</si>
  <si>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</si>
  <si>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</si>
  <si>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</si>
  <si>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</si>
  <si>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</si>
  <si>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</si>
  <si>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</si>
  <si>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</si>
  <si>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</si>
  <si>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</si>
  <si>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</si>
  <si>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</si>
  <si>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</si>
  <si>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</si>
  <si>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</si>
  <si>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</si>
  <si>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</si>
  <si>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</si>
  <si>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</si>
  <si>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</si>
  <si>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</si>
  <si>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</si>
  <si>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</si>
  <si>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</si>
  <si>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</si>
  <si>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</si>
  <si>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</si>
  <si>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</si>
  <si>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</si>
  <si>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</si>
  <si>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</si>
  <si>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</si>
  <si>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</si>
  <si>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</si>
  <si>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</si>
  <si>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</si>
  <si>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</si>
  <si>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</si>
  <si>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</si>
  <si>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</si>
  <si>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</si>
  <si>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</si>
  <si>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</si>
  <si>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</si>
  <si>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</si>
  <si>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</si>
  <si>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</si>
  <si>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</si>
  <si>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</si>
  <si>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</si>
  <si>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</si>
  <si>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</si>
  <si>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</si>
  <si>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</si>
  <si>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</si>
  <si>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</si>
  <si>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</si>
  <si>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</si>
  <si>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</si>
  <si>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</si>
  <si>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</si>
  <si>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</si>
  <si>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</si>
  <si>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</si>
  <si>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</si>
  <si>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</si>
  <si>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</si>
  <si>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</si>
  <si>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</si>
  <si>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</si>
  <si>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</si>
  <si>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</si>
  <si>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</si>
  <si>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</si>
  <si>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</si>
  <si>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</si>
  <si>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</si>
  <si>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</si>
  <si>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</si>
  <si>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</si>
  <si>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</si>
  <si>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</si>
  <si>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</si>
  <si>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</si>
  <si>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</si>
  <si>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</si>
  <si>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</si>
  <si>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</si>
  <si>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</si>
  <si>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</si>
  <si>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</si>
  <si>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</si>
  <si>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</si>
  <si>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</si>
  <si>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</si>
  <si>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</si>
  <si>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</si>
  <si>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</si>
  <si>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</si>
  <si>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</si>
  <si>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</si>
  <si>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</si>
  <si>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</si>
  <si>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</si>
  <si>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</si>
  <si>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</si>
  <si>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</si>
  <si>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</si>
  <si>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</si>
  <si>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</si>
  <si>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</si>
  <si>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</si>
  <si>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</si>
  <si>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</si>
  <si>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</si>
  <si>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</si>
  <si>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</si>
  <si>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</si>
  <si>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</si>
  <si>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</si>
  <si>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</si>
  <si>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</si>
  <si>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</si>
  <si>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</si>
  <si>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</si>
  <si>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</si>
  <si>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</si>
  <si>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</si>
  <si>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</si>
  <si>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</si>
  <si>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</si>
  <si>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</si>
  <si>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</si>
  <si>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</si>
  <si>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</si>
  <si>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</si>
  <si>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</si>
  <si>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</si>
  <si>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</si>
  <si>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</si>
  <si>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</si>
  <si>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</si>
  <si>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</si>
  <si>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</si>
  <si>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</si>
  <si>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</si>
  <si>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</si>
  <si>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</si>
  <si>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</si>
  <si>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</si>
  <si>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</si>
  <si>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</si>
  <si>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</si>
  <si>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</si>
  <si>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</si>
  <si>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</si>
  <si>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</si>
  <si>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</si>
  <si>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</si>
  <si>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</si>
  <si>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</si>
  <si>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</si>
  <si>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</si>
  <si>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</si>
  <si>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</si>
  <si>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</si>
  <si>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</si>
  <si>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</si>
  <si>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</si>
  <si>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</si>
  <si>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</si>
  <si>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</si>
  <si>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</si>
  <si>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</si>
  <si>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</si>
  <si>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</si>
  <si>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</si>
  <si>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</si>
  <si>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</si>
  <si>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</si>
  <si>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</si>
  <si>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</si>
  <si>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</si>
  <si>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</si>
  <si>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</si>
  <si>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</si>
  <si>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</si>
  <si>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</si>
  <si>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</si>
  <si>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</si>
  <si>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</si>
  <si>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</si>
  <si>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</si>
  <si>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</si>
  <si>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</si>
  <si>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</si>
  <si>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</si>
  <si>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</si>
  <si>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</si>
  <si>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</si>
  <si>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</si>
  <si>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</si>
  <si>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</si>
  <si>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</si>
  <si>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</si>
  <si>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</si>
  <si>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</si>
  <si>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</si>
  <si>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</si>
  <si>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</si>
  <si>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</si>
  <si>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</si>
  <si>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</si>
  <si>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</si>
  <si>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</si>
  <si>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</si>
  <si>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</si>
  <si>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</si>
  <si>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</si>
  <si>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</si>
  <si>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</si>
  <si>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</si>
  <si>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</si>
  <si>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</si>
  <si>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</si>
  <si>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</si>
  <si>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</si>
  <si>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</si>
  <si>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</si>
  <si>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</si>
  <si>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</si>
  <si>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</si>
  <si>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</si>
  <si>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</si>
  <si>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</si>
  <si>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</si>
  <si>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</si>
  <si>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</si>
  <si>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</si>
  <si>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</si>
  <si>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</si>
  <si>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</si>
  <si>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</si>
  <si>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</si>
  <si>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</si>
  <si>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</si>
  <si>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</si>
  <si>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</si>
  <si>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</si>
  <si>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</si>
  <si>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</si>
  <si>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</si>
  <si>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</si>
  <si>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</si>
  <si>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</si>
  <si>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</si>
  <si>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</si>
  <si>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</si>
  <si>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</si>
  <si>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</si>
  <si>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</si>
  <si>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</si>
  <si>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</si>
  <si>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</si>
  <si>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</si>
  <si>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</si>
  <si>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</si>
  <si>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</si>
  <si>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</si>
  <si>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</si>
  <si>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</si>
  <si>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</si>
  <si>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</si>
  <si>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</si>
  <si>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</si>
  <si>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</si>
  <si>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</si>
  <si>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</si>
  <si>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</si>
  <si>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</si>
  <si>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</si>
  <si>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</si>
  <si>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</si>
  <si>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</si>
  <si>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</si>
  <si>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</si>
  <si>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</si>
  <si>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</si>
  <si>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</si>
  <si>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</si>
  <si>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</si>
  <si>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</si>
  <si>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</si>
  <si>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</si>
  <si>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</si>
  <si>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</si>
  <si>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</si>
  <si>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</si>
  <si>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</si>
  <si>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</si>
  <si>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</si>
  <si>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</si>
  <si>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</si>
  <si>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</si>
  <si>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</si>
  <si>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</si>
  <si>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</si>
  <si>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</si>
  <si>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</si>
  <si>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</si>
  <si>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</si>
  <si>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</si>
  <si>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</si>
  <si>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</si>
  <si>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</si>
  <si>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</si>
  <si>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</si>
  <si>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</si>
  <si>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</si>
  <si>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</si>
  <si>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</si>
  <si>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</si>
  <si>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</si>
  <si>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</si>
  <si>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</si>
  <si>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</si>
  <si>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</si>
  <si>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</si>
  <si>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</si>
  <si>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</si>
  <si>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</si>
  <si>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</si>
  <si>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</si>
  <si>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</si>
  <si>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</si>
  <si>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</si>
  <si>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</si>
  <si>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</si>
  <si>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</si>
  <si>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</si>
  <si>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</si>
  <si>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</si>
  <si>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</si>
  <si>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</si>
  <si>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</si>
  <si>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</si>
  <si>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</si>
  <si>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</si>
  <si>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</si>
  <si>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</si>
  <si>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</si>
  <si>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</si>
  <si>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</si>
  <si>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</si>
  <si>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</si>
  <si>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</si>
  <si>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</si>
  <si>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</si>
  <si>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</si>
  <si>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</si>
  <si>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</si>
  <si>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</si>
  <si>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</si>
  <si>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</si>
  <si>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</si>
  <si>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</si>
  <si>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</si>
  <si>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</si>
  <si>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</si>
  <si>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</si>
  <si>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</si>
  <si>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</si>
  <si>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</si>
  <si>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</si>
  <si>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</si>
  <si>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</si>
  <si>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</si>
  <si>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</si>
  <si>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</si>
  <si>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</si>
  <si>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</si>
  <si>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</si>
  <si>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</si>
  <si>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</si>
  <si>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</si>
  <si>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</si>
  <si>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</si>
  <si>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</si>
  <si>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</si>
  <si>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</si>
  <si>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</si>
  <si>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</si>
  <si>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</si>
  <si>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</si>
  <si>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</si>
  <si>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</si>
  <si>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</si>
  <si>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</si>
  <si>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</si>
  <si>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</si>
  <si>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</si>
  <si>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</si>
  <si>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</si>
  <si>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</si>
  <si>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</si>
  <si>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</si>
  <si>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</si>
  <si>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</si>
  <si>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</si>
  <si>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</si>
  <si>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</si>
  <si>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</si>
  <si>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</si>
  <si>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</si>
  <si>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</si>
  <si>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</si>
  <si>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</si>
  <si>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</si>
  <si>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</si>
  <si>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</si>
  <si>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</si>
  <si>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</si>
  <si>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</si>
  <si>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</si>
  <si>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</si>
  <si>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</si>
  <si>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</si>
  <si>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</si>
  <si>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</si>
  <si>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</si>
  <si>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</si>
  <si>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</si>
  <si>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</si>
  <si>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</si>
  <si>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</si>
  <si>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</si>
  <si>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</si>
  <si>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</si>
  <si>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</si>
  <si>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</si>
  <si>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</si>
  <si>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</si>
  <si>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</si>
  <si>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</si>
  <si>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</si>
  <si>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</si>
  <si>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</si>
  <si>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</si>
  <si>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</si>
  <si>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</si>
  <si>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</si>
  <si>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</si>
  <si>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</si>
  <si>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</si>
  <si>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</si>
  <si>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</si>
  <si>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</si>
  <si>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</si>
  <si>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</si>
  <si>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</si>
  <si>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</si>
  <si>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</si>
  <si>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</si>
  <si>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</si>
  <si>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</si>
  <si>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</si>
  <si>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</si>
  <si>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</si>
  <si>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</si>
  <si>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</si>
  <si>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</si>
  <si>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</si>
  <si>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</si>
  <si>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</si>
  <si>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</si>
  <si>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</si>
  <si>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</si>
  <si>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</si>
  <si>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</si>
  <si>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</si>
  <si>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</si>
  <si>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</si>
  <si>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</si>
  <si>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</si>
  <si>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</si>
  <si>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</si>
  <si>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</si>
  <si>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</si>
  <si>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</si>
  <si>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</si>
  <si>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</si>
  <si>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</si>
  <si>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</si>
  <si>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</si>
  <si>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</si>
  <si>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</si>
  <si>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</si>
  <si>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</si>
  <si>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</si>
  <si>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</si>
  <si>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</si>
  <si>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</si>
  <si>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</si>
  <si>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</si>
  <si>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</si>
  <si>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</si>
  <si>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</si>
  <si>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</si>
  <si>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</si>
  <si>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</si>
  <si>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</si>
  <si>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</si>
  <si>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</si>
  <si>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</si>
  <si>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</si>
  <si>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</si>
  <si>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</si>
  <si>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</si>
  <si>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</si>
  <si>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</si>
  <si>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</si>
  <si>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</si>
  <si>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</si>
  <si>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</si>
  <si>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</si>
  <si>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</si>
  <si>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</si>
  <si>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</si>
  <si>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</si>
  <si>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</si>
  <si>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</si>
  <si>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</si>
  <si>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</si>
  <si>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</si>
  <si>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</si>
  <si>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</si>
  <si>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</si>
  <si>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</si>
  <si>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</si>
  <si>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</si>
  <si>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</si>
  <si>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</si>
  <si>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</si>
  <si>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</si>
  <si>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</si>
  <si>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</si>
  <si>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</si>
  <si>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</si>
  <si>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</si>
  <si>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</si>
  <si>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</si>
  <si>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</si>
  <si>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</si>
  <si>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</si>
  <si>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</si>
  <si>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</si>
  <si>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</si>
  <si>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</si>
  <si>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</si>
  <si>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</si>
  <si>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</si>
  <si>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</si>
  <si>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</si>
  <si>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</si>
  <si>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</si>
  <si>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</si>
  <si>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</si>
  <si>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</si>
  <si>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</si>
  <si>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</si>
  <si>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</si>
  <si>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</si>
  <si>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</si>
  <si>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</si>
  <si>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</si>
  <si>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</si>
  <si>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</si>
  <si>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</si>
  <si>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</si>
  <si>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</si>
  <si>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</si>
  <si>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</si>
  <si>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</si>
  <si>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</si>
  <si>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</si>
  <si>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</si>
  <si>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</si>
  <si>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</si>
  <si>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</si>
  <si>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</si>
  <si>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</si>
  <si>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</si>
  <si>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</si>
  <si>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</si>
  <si>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</si>
  <si>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</si>
  <si>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</si>
  <si>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</si>
  <si>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</si>
  <si>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</si>
  <si>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</si>
  <si>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</si>
  <si>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</si>
  <si>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</si>
  <si>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</si>
  <si>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</si>
  <si>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</si>
  <si>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</si>
  <si>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</si>
  <si>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</si>
  <si>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</si>
  <si>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</si>
  <si>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</si>
  <si>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</si>
  <si>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</si>
  <si>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</si>
  <si>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</si>
  <si>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</si>
  <si>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</si>
  <si>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</si>
  <si>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</si>
  <si>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</si>
  <si>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</si>
  <si>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</si>
  <si>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</si>
  <si>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</si>
  <si>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</si>
  <si>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</si>
  <si>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</si>
  <si>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</si>
  <si>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</si>
  <si>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</si>
  <si>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</si>
  <si>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</si>
  <si>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</si>
  <si>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</si>
  <si>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</si>
  <si>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</si>
  <si>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</si>
  <si>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</si>
  <si>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</si>
  <si>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</si>
  <si>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</si>
  <si>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</si>
  <si>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</si>
  <si>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</si>
  <si>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</si>
  <si>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</si>
  <si>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</si>
  <si>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</si>
  <si>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</si>
  <si>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</si>
  <si>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</si>
  <si>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</si>
  <si>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</si>
  <si>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</si>
  <si>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</si>
  <si>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</si>
  <si>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</si>
  <si>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</si>
  <si>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</si>
  <si>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</si>
  <si>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</si>
  <si>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</si>
  <si>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</si>
  <si>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</si>
  <si>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</si>
  <si>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</si>
  <si>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</si>
  <si>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</si>
  <si>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</si>
  <si>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</si>
  <si>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</si>
  <si>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</si>
  <si>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</si>
  <si>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</si>
  <si>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</si>
  <si>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</si>
  <si>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</si>
  <si>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</si>
  <si>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</si>
  <si>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</si>
  <si>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</si>
  <si>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</si>
  <si>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</si>
  <si>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</si>
  <si>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</si>
  <si>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</si>
  <si>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</si>
  <si>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</si>
  <si>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</si>
  <si>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</si>
  <si>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</si>
  <si>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</si>
  <si>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</si>
  <si>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</si>
  <si>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</si>
  <si>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</si>
  <si>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</si>
  <si>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</si>
  <si>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</si>
  <si>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</si>
  <si>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</si>
  <si>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</si>
  <si>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</si>
  <si>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</si>
  <si>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</si>
  <si>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</si>
  <si>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</si>
  <si>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</si>
  <si>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</si>
  <si>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</si>
  <si>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</si>
  <si>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</si>
  <si>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</si>
  <si>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</si>
  <si>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</si>
  <si>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</si>
  <si>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</si>
  <si>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</si>
  <si>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</si>
  <si>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</si>
  <si>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</si>
  <si>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</si>
  <si>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</si>
  <si>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</si>
  <si>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</si>
  <si>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</si>
  <si>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</si>
  <si>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</si>
  <si>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</si>
  <si>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</si>
  <si>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</si>
  <si>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</si>
  <si>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</si>
  <si>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</si>
  <si>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</si>
  <si>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</si>
  <si>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</si>
  <si>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</si>
  <si>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</si>
  <si>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</si>
  <si>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</si>
  <si>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</si>
  <si>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</si>
  <si>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</si>
  <si>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</si>
  <si>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</si>
  <si>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</si>
  <si>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</si>
  <si>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</si>
  <si>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</si>
  <si>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</si>
  <si>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</si>
  <si>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</si>
  <si>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</si>
  <si>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</si>
  <si>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</si>
  <si>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</si>
  <si>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</si>
  <si>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</si>
  <si>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</si>
  <si>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</si>
  <si>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</si>
  <si>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</si>
  <si>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</si>
  <si>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</si>
  <si>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</si>
  <si>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</si>
  <si>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</si>
  <si>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</si>
  <si>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</si>
  <si>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</si>
  <si>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</si>
  <si>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</si>
  <si>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</si>
  <si>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</si>
  <si>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</si>
  <si>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</si>
  <si>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</si>
  <si>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</si>
  <si>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</si>
  <si>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</si>
  <si>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</si>
  <si>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</si>
  <si>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</si>
  <si>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</si>
  <si>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</si>
  <si>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</si>
  <si>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</si>
  <si>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</si>
  <si>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</si>
  <si>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</si>
  <si>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</si>
  <si>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</si>
  <si>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</si>
  <si>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</si>
  <si>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</si>
  <si>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</si>
  <si>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</si>
  <si>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</si>
  <si>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</si>
  <si>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</si>
  <si>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</si>
  <si>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</si>
  <si>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</si>
  <si>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</si>
  <si>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</si>
  <si>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</si>
  <si>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</si>
  <si>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</si>
  <si>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</si>
  <si>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</si>
  <si>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</si>
  <si>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</si>
  <si>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</si>
  <si>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</si>
  <si>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</si>
  <si>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</si>
  <si>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</si>
  <si>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</si>
  <si>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</si>
  <si>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</si>
  <si>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</si>
  <si>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</si>
  <si>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</si>
  <si>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</si>
  <si>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</si>
  <si>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</si>
  <si>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</si>
  <si>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</si>
  <si>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</si>
  <si>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</si>
  <si>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</si>
  <si>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</si>
  <si>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</si>
  <si>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</si>
  <si>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</si>
  <si>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</si>
  <si>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</si>
  <si>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</si>
  <si>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</si>
  <si>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</si>
  <si>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</si>
  <si>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</si>
  <si>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</si>
  <si>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</si>
  <si>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</si>
  <si>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</si>
  <si>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</si>
  <si>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</si>
  <si>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</si>
  <si>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</si>
  <si>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</si>
  <si>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</si>
  <si>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</si>
  <si>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</si>
  <si>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</si>
  <si>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</si>
  <si>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</si>
  <si>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</si>
  <si>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</si>
  <si>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</si>
  <si>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</si>
  <si>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</si>
  <si>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</si>
  <si>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</si>
  <si>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</si>
  <si>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</si>
  <si>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</si>
  <si>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</si>
  <si>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</si>
  <si>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</si>
  <si>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</si>
  <si>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</si>
  <si>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</si>
  <si>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</si>
  <si>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</si>
  <si>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</si>
  <si>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</si>
  <si>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</si>
  <si>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</si>
  <si>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</si>
  <si>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</si>
  <si>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</si>
  <si>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</si>
  <si>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</si>
  <si>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</si>
  <si>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</si>
  <si>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</si>
  <si>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</si>
  <si>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</si>
  <si>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</si>
  <si>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</si>
  <si>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</si>
  <si>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</si>
  <si>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</si>
  <si>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</si>
  <si>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</si>
  <si>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</si>
  <si>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</si>
  <si>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</si>
  <si>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</si>
  <si>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</si>
  <si>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</si>
  <si>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</si>
  <si>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</si>
  <si>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</si>
  <si>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</si>
  <si>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</si>
  <si>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</si>
  <si>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</si>
  <si>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</si>
  <si>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</si>
  <si>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</si>
  <si>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</si>
  <si>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</si>
  <si>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</si>
  <si>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</si>
  <si>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</si>
  <si>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</si>
  <si>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</si>
  <si>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</si>
  <si>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</si>
  <si>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</si>
  <si>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</si>
  <si>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</si>
  <si>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</si>
  <si>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</si>
  <si>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</si>
  <si>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</si>
  <si>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</si>
  <si>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</si>
  <si>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</si>
  <si>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</si>
  <si>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</si>
  <si>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</si>
  <si>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</si>
  <si>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</si>
  <si>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</si>
  <si>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</si>
  <si>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</si>
  <si>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</si>
  <si>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</si>
  <si>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</si>
  <si>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</si>
  <si>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</si>
  <si>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</si>
  <si>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</si>
  <si>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</si>
  <si>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</si>
  <si>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</si>
  <si>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</si>
  <si>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</si>
  <si>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</si>
  <si>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</si>
  <si>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</si>
  <si>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</si>
  <si>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</si>
  <si>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</si>
  <si>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</si>
  <si>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</si>
  <si>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</si>
  <si>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</si>
  <si>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</si>
  <si>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</si>
  <si>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</si>
  <si>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</si>
  <si>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</si>
  <si>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</si>
  <si>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</si>
  <si>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</si>
  <si>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</si>
  <si>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</si>
  <si>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</si>
  <si>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</si>
  <si>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</si>
  <si>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</si>
  <si>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</si>
  <si>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</si>
  <si>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</si>
  <si>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</si>
  <si>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</si>
  <si>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</si>
  <si>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</si>
  <si>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</si>
  <si>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</si>
  <si>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</si>
  <si>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</si>
  <si>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</si>
  <si>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</si>
  <si>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</si>
  <si>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</si>
  <si>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</si>
  <si>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</si>
  <si>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</si>
  <si>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</si>
  <si>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</si>
  <si>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</si>
  <si>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</si>
  <si>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</si>
  <si>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</si>
  <si>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</si>
  <si>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</si>
  <si>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</si>
  <si>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</si>
  <si>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</si>
  <si>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</si>
  <si>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</si>
  <si>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</si>
  <si>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</si>
  <si>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</si>
  <si>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</si>
  <si>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</si>
  <si>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</si>
  <si>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</si>
  <si>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</si>
  <si>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</si>
  <si>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</si>
  <si>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</si>
  <si>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</si>
  <si>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</si>
  <si>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</si>
  <si>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</si>
  <si>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</si>
  <si>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</si>
  <si>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</si>
  <si>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</si>
  <si>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</si>
  <si>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</si>
  <si>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</si>
  <si>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</si>
  <si>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</si>
  <si>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</si>
  <si>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</si>
  <si>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</si>
  <si>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</si>
  <si>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</si>
  <si>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</si>
  <si>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</si>
  <si>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</si>
  <si>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</si>
  <si>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</si>
  <si>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</si>
  <si>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</si>
  <si>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</si>
  <si>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</si>
  <si>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</si>
  <si>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</si>
  <si>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</si>
  <si>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</si>
  <si>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</si>
  <si>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</si>
  <si>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</si>
  <si>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</si>
  <si>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</si>
  <si>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</si>
  <si>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</si>
  <si>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</si>
  <si>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</si>
  <si>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</si>
  <si>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</si>
  <si>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</si>
  <si>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</si>
  <si>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</si>
  <si>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</si>
  <si>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</si>
  <si>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</si>
  <si>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</si>
  <si>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</si>
  <si>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</si>
  <si>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</si>
  <si>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</si>
  <si>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</si>
  <si>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</si>
  <si>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</si>
  <si>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</si>
  <si>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</si>
  <si>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</si>
  <si>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</si>
  <si>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</si>
  <si>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</si>
  <si>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</si>
  <si>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</si>
  <si>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</si>
  <si>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</si>
  <si>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</si>
  <si>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</si>
  <si>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</si>
  <si>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</si>
  <si>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</si>
  <si>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</si>
  <si>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</si>
  <si>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</si>
  <si>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</si>
  <si>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</si>
  <si>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</si>
  <si>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</si>
  <si>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</si>
  <si>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</si>
  <si>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</si>
  <si>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</si>
  <si>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</si>
  <si>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</si>
  <si>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</si>
  <si>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</si>
  <si>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</si>
  <si>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</si>
  <si>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</si>
  <si>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</si>
  <si>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</si>
  <si>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</si>
  <si>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</si>
  <si>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</si>
  <si>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</si>
  <si>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</si>
  <si>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</si>
  <si>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</si>
  <si>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</si>
  <si>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</si>
  <si>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</si>
  <si>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</si>
  <si>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</si>
  <si>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</si>
  <si>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</si>
  <si>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</si>
  <si>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</si>
  <si>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</si>
  <si>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</si>
  <si>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</si>
  <si>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</si>
  <si>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</si>
  <si>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</si>
  <si>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</si>
  <si>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</si>
  <si>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</si>
  <si>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</si>
  <si>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</si>
  <si>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</si>
  <si>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</si>
  <si>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</si>
  <si>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</si>
  <si>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</si>
  <si>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</si>
  <si>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</si>
  <si>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</si>
  <si>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</si>
  <si>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</si>
  <si>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</si>
  <si>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</si>
  <si>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</si>
  <si>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</si>
  <si>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</si>
  <si>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</si>
  <si>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</si>
  <si>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</si>
  <si>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</si>
  <si>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</si>
  <si>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</si>
  <si>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</si>
  <si>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</si>
  <si>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</si>
  <si>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</si>
  <si>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</si>
  <si>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</si>
  <si>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</si>
  <si>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</si>
  <si>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</si>
  <si>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</si>
  <si>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</si>
  <si>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</si>
  <si>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</si>
  <si>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</si>
  <si>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</si>
  <si>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</si>
  <si>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</si>
  <si>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</si>
  <si>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</si>
  <si>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</si>
  <si>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</si>
  <si>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</si>
  <si>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</si>
  <si>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</si>
  <si>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</si>
  <si>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</si>
  <si>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</si>
  <si>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</si>
  <si>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</si>
  <si>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</si>
  <si>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</si>
  <si>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</si>
  <si>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</si>
  <si>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</si>
  <si>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</si>
  <si>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</si>
  <si>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</si>
  <si>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</si>
  <si>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</si>
  <si>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</si>
  <si>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</si>
  <si>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</si>
  <si>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</si>
  <si>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</si>
  <si>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</si>
  <si>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</si>
  <si>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</si>
  <si>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</si>
  <si>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</si>
  <si>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</si>
  <si>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</si>
  <si>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</si>
  <si>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</si>
  <si>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</si>
  <si>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</si>
  <si>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</si>
  <si>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</si>
  <si>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</si>
  <si>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</si>
  <si>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</si>
  <si>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</si>
  <si>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</si>
  <si>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</si>
  <si>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</si>
  <si>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</si>
  <si>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</si>
  <si>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</si>
  <si>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</si>
  <si>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</si>
  <si>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</si>
  <si>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</si>
  <si>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</si>
  <si>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</si>
  <si>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</si>
  <si>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</si>
  <si>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</si>
  <si>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</si>
  <si>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</si>
  <si>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</si>
  <si>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</si>
  <si>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</si>
  <si>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</si>
  <si>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</si>
  <si>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</si>
  <si>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</si>
  <si>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</si>
  <si>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</si>
  <si>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</si>
  <si>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</si>
  <si>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</si>
  <si>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</si>
  <si>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</si>
  <si>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</si>
  <si>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</si>
  <si>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</si>
  <si>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</si>
  <si>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</si>
  <si>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</si>
  <si>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</si>
  <si>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</si>
  <si>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</si>
  <si>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</si>
  <si>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</si>
  <si>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</si>
  <si>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</si>
  <si>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</si>
  <si>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</si>
  <si>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</si>
  <si>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</si>
  <si>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</si>
  <si>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</si>
  <si>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</si>
  <si>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</si>
  <si>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</si>
  <si>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</si>
  <si>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</si>
  <si>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</si>
  <si>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</si>
  <si>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</si>
  <si>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</si>
  <si>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</si>
  <si>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</si>
  <si>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</si>
  <si>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</si>
  <si>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</si>
  <si>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</si>
  <si>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</si>
  <si>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</si>
  <si>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</si>
  <si>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</si>
  <si>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</si>
  <si>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</si>
  <si>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</si>
  <si>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</si>
  <si>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</si>
  <si>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</si>
  <si>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</si>
  <si>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</si>
  <si>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</si>
  <si>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</si>
  <si>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</si>
  <si>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</si>
  <si>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</si>
  <si>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</si>
  <si>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</si>
  <si>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</si>
  <si>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</si>
  <si>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</si>
  <si>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</si>
  <si>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</si>
  <si>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</si>
  <si>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</si>
  <si>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</si>
  <si>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</si>
  <si>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</si>
  <si>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</si>
  <si>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</si>
  <si>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</si>
  <si>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</si>
  <si>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</si>
  <si>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</si>
  <si>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</si>
  <si>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</si>
  <si>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</si>
  <si>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</si>
  <si>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</si>
  <si>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</si>
  <si>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</si>
  <si>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</si>
  <si>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</si>
  <si>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</si>
  <si>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</si>
  <si>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</si>
  <si>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</si>
  <si>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</si>
  <si>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</si>
  <si>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</si>
  <si>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</si>
  <si>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</si>
  <si>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</si>
  <si>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</si>
  <si>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</si>
  <si>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</si>
  <si>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</si>
  <si>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</si>
  <si>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</si>
  <si>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</si>
  <si>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</si>
  <si>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</si>
  <si>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</si>
  <si>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</si>
  <si>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</si>
  <si>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</si>
  <si>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</si>
  <si>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</si>
  <si>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</si>
  <si>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</si>
  <si>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</si>
  <si>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</si>
  <si>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</si>
  <si>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</si>
  <si>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</si>
  <si>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</si>
  <si>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</si>
  <si>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</si>
  <si>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</si>
  <si>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</si>
  <si>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</si>
  <si>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</si>
  <si>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</si>
  <si>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</si>
  <si>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</si>
  <si>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</si>
  <si>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</si>
  <si>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</si>
  <si>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</si>
  <si>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</si>
  <si>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</si>
  <si>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</si>
  <si>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</si>
  <si>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</si>
  <si>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</si>
  <si>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</si>
  <si>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</si>
  <si>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</si>
  <si>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</si>
  <si>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</si>
  <si>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</si>
  <si>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</si>
  <si>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</si>
  <si>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</si>
  <si>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</si>
  <si>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</si>
  <si>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</si>
  <si>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</si>
  <si>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</si>
  <si>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</si>
  <si>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</si>
  <si>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</si>
  <si>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</si>
  <si>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</si>
  <si>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</si>
  <si>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</si>
  <si>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</si>
  <si>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</si>
  <si>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</si>
  <si>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</si>
  <si>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</si>
  <si>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</si>
  <si>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</si>
  <si>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</si>
  <si>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</si>
  <si>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</si>
  <si>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</si>
  <si>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</si>
  <si>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</si>
  <si>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</si>
  <si>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</si>
  <si>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</si>
  <si>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</si>
  <si>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</si>
  <si>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</si>
  <si>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</si>
  <si>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</si>
  <si>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</si>
  <si>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</si>
  <si>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</si>
  <si>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</si>
  <si>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</si>
  <si>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</si>
  <si>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</si>
  <si>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</si>
  <si>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</si>
  <si>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</si>
  <si>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</si>
  <si>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</si>
  <si>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</si>
  <si>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</si>
  <si>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</si>
  <si>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</si>
  <si>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</si>
  <si>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</si>
  <si>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</si>
  <si>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</si>
  <si>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</si>
  <si>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</si>
  <si>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</si>
  <si>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</si>
  <si>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</si>
  <si>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</si>
  <si>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</si>
  <si>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</si>
  <si>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</si>
  <si>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</si>
  <si>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</si>
  <si>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</si>
  <si>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</si>
  <si>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</si>
  <si>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</si>
  <si>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</si>
  <si>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</si>
  <si>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</si>
  <si>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</si>
  <si>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</si>
  <si>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</si>
  <si>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</si>
  <si>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</si>
  <si>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</si>
  <si>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</si>
  <si>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</si>
  <si>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</si>
  <si>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</si>
  <si>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</si>
  <si>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</si>
  <si>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</si>
  <si>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</si>
  <si>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</si>
  <si>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</si>
  <si>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</si>
  <si>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</si>
  <si>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</si>
  <si>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</si>
  <si>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</si>
  <si>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</si>
  <si>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</si>
  <si>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</si>
  <si>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</si>
  <si>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</si>
  <si>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</si>
  <si>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</si>
  <si>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</si>
  <si>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</si>
  <si>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</si>
  <si>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</si>
  <si>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</si>
  <si>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</si>
  <si>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</si>
  <si>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</si>
  <si>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</si>
  <si>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</si>
  <si>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</si>
  <si>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</si>
  <si>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</si>
  <si>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</si>
  <si>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</si>
  <si>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</si>
  <si>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</si>
  <si>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</si>
  <si>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</si>
  <si>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</si>
  <si>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</si>
  <si>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</si>
  <si>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</si>
  <si>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</si>
  <si>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</si>
  <si>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</si>
  <si>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</si>
  <si>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</si>
  <si>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</si>
  <si>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</si>
  <si>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</si>
  <si>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</si>
  <si>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</si>
  <si>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</si>
  <si>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</si>
  <si>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</si>
  <si>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</si>
  <si>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</si>
  <si>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</si>
  <si>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</si>
  <si>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</si>
  <si>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</si>
  <si>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</si>
  <si>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</si>
  <si>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</si>
  <si>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</si>
  <si>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</si>
  <si>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</si>
  <si>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</si>
  <si>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</si>
  <si>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</si>
  <si>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</si>
  <si>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</si>
  <si>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</si>
  <si>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</si>
  <si>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</si>
  <si>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</si>
  <si>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</si>
  <si>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</si>
  <si>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</si>
  <si>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</si>
  <si>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</si>
  <si>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</si>
  <si>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</si>
  <si>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</si>
  <si>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</si>
  <si>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</si>
  <si>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</si>
  <si>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</si>
  <si>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</si>
  <si>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</si>
  <si>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</si>
  <si>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</si>
  <si>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</si>
  <si>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</si>
  <si>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</si>
  <si>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</si>
  <si>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</si>
  <si>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</si>
  <si>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</si>
  <si>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</si>
  <si>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</si>
  <si>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</si>
  <si>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</si>
  <si>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</si>
  <si>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</si>
  <si>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</si>
  <si>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</si>
  <si>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</si>
  <si>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</si>
  <si>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</si>
  <si>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</si>
  <si>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</si>
  <si>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</si>
  <si>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</si>
  <si>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</si>
  <si>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</si>
  <si>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</si>
  <si>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</si>
  <si>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</si>
  <si>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</si>
  <si>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</si>
  <si>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</si>
  <si>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</si>
  <si>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</si>
  <si>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</si>
  <si>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</si>
  <si>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</si>
  <si>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</si>
  <si>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</si>
  <si>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</si>
  <si>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</si>
  <si>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</si>
  <si>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</si>
  <si>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</si>
  <si>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</si>
  <si>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</si>
  <si>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</si>
  <si>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</si>
  <si>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</si>
  <si>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</si>
  <si>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</si>
  <si>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</si>
  <si>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</si>
  <si>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</si>
  <si>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</si>
  <si>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</si>
  <si>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</si>
  <si>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</si>
  <si>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</si>
  <si>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</si>
  <si>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</si>
  <si>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</si>
  <si>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</si>
  <si>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</si>
  <si>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</si>
  <si>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</si>
  <si>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</si>
  <si>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</si>
  <si>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</si>
  <si>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</si>
  <si>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</si>
  <si>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</si>
  <si>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</si>
  <si>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</si>
  <si>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</si>
  <si>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</si>
  <si>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</si>
  <si>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</si>
  <si>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</si>
  <si>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</si>
  <si>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</si>
  <si>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</si>
  <si>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</si>
  <si>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</si>
  <si>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</si>
  <si>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</si>
  <si>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</si>
  <si>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</si>
  <si>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</si>
  <si>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</si>
  <si>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</si>
  <si>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</si>
  <si>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</si>
  <si>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</si>
  <si>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</si>
  <si>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</si>
  <si>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</si>
  <si>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</si>
  <si>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</si>
  <si>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</si>
  <si>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</si>
  <si>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</si>
  <si>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</si>
  <si>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</si>
  <si>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</si>
  <si>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</si>
  <si>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</si>
  <si>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</si>
  <si>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</si>
  <si>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</si>
  <si>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</si>
  <si>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</si>
  <si>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</si>
  <si>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</si>
  <si>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</si>
  <si>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</si>
  <si>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</si>
  <si>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</si>
  <si>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</si>
  <si>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</si>
  <si>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</si>
  <si>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</si>
  <si>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</si>
  <si>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</si>
  <si>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</si>
  <si>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</si>
  <si>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</si>
  <si>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</si>
  <si>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</si>
  <si>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</si>
  <si>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</si>
  <si>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</si>
  <si>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</si>
  <si>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</si>
  <si>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</si>
  <si>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</si>
  <si>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</si>
  <si>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</si>
  <si>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</si>
  <si>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</si>
  <si>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</si>
  <si>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</si>
  <si>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</si>
  <si>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</si>
  <si>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</si>
  <si>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</si>
  <si>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</si>
  <si>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</si>
  <si>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</si>
  <si>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</si>
  <si>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</si>
  <si>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</si>
  <si>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</si>
  <si>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</si>
  <si>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</si>
  <si>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</si>
  <si>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</si>
  <si>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</si>
  <si>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</si>
  <si>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</si>
  <si>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</si>
  <si>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</si>
  <si>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</si>
  <si>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</si>
  <si>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</si>
  <si>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</si>
  <si>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</si>
  <si>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</si>
  <si>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</si>
  <si>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</si>
  <si>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</si>
  <si>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</si>
  <si>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</si>
  <si>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</si>
  <si>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</si>
  <si>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</si>
  <si>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</si>
  <si>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</si>
  <si>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</si>
  <si>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</si>
  <si>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</si>
  <si>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</si>
  <si>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</si>
  <si>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</si>
  <si>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</si>
  <si>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</si>
  <si>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</si>
  <si>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</si>
  <si>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</si>
  <si>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</si>
  <si>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</si>
  <si>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</si>
  <si>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</si>
  <si>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</si>
  <si>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</si>
  <si>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</si>
  <si>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</si>
  <si>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</si>
  <si>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</si>
  <si>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</si>
  <si>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</si>
  <si>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</si>
  <si>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</si>
  <si>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</si>
  <si>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</si>
  <si>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</si>
  <si>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</si>
  <si>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</si>
  <si>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</si>
  <si>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</si>
  <si>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</si>
  <si>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</si>
  <si>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</si>
  <si>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</si>
  <si>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</si>
  <si>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</si>
  <si>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</si>
  <si>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</si>
  <si>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</si>
  <si>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</si>
  <si>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</si>
  <si>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</si>
  <si>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</si>
  <si>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</si>
  <si>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</si>
  <si>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</si>
  <si>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</si>
  <si>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</si>
  <si>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</si>
  <si>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</si>
  <si>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</si>
  <si>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</si>
  <si>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</si>
  <si>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</si>
  <si>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</si>
  <si>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</si>
  <si>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</si>
  <si>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</si>
  <si>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</si>
  <si>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</si>
  <si>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</si>
  <si>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</si>
  <si>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</si>
  <si>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</si>
  <si>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</si>
  <si>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</si>
  <si>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</si>
  <si>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</si>
  <si>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</si>
  <si>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</si>
  <si>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</si>
  <si>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</si>
  <si>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</si>
  <si>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</si>
  <si>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</si>
  <si>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</si>
  <si>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</si>
  <si>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</si>
  <si>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</si>
  <si>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</si>
  <si>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</si>
  <si>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</si>
  <si>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</si>
  <si>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</si>
  <si>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</si>
  <si>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</si>
  <si>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</si>
  <si>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</si>
  <si>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</si>
  <si>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</si>
  <si>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</si>
  <si>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</si>
  <si>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</si>
  <si>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</si>
  <si>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</si>
  <si>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</si>
  <si>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</si>
  <si>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</si>
  <si>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</si>
  <si>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</si>
  <si>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</si>
  <si>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</si>
  <si>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</si>
  <si>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</si>
  <si>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</si>
  <si>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</si>
  <si>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</si>
  <si>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</si>
  <si>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</si>
  <si>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</si>
  <si>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</si>
  <si>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</si>
  <si>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</si>
  <si>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</si>
  <si>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</si>
  <si>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</si>
  <si>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</si>
  <si>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</si>
  <si>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</si>
  <si>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</si>
  <si>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</si>
  <si>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</si>
  <si>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</si>
  <si>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</si>
  <si>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</si>
  <si>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</si>
  <si>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</si>
  <si>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</si>
  <si>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</si>
  <si>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</si>
  <si>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</si>
  <si>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</si>
  <si>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</si>
  <si>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</si>
  <si>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</si>
  <si>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</si>
  <si>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</si>
  <si>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</si>
  <si>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</si>
  <si>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</si>
  <si>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</si>
  <si>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</si>
  <si>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</si>
  <si>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</si>
  <si>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</si>
  <si>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</si>
  <si>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</si>
  <si>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</si>
  <si>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</si>
  <si>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</si>
  <si>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</si>
  <si>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</si>
  <si>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</si>
  <si>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</si>
  <si>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</si>
  <si>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</si>
  <si>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</si>
  <si>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</si>
  <si>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</si>
  <si>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</si>
  <si>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</si>
  <si>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</si>
  <si>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</si>
  <si>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</si>
  <si>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</si>
  <si>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</si>
  <si>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</si>
  <si>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</si>
  <si>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</si>
  <si>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</si>
  <si>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</si>
  <si>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</si>
  <si>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</si>
  <si>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</si>
  <si>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</si>
  <si>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</si>
  <si>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</si>
  <si>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</si>
  <si>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</si>
  <si>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</si>
  <si>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</si>
  <si>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</si>
  <si>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</si>
  <si>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</si>
  <si>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</si>
  <si>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</si>
  <si>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</si>
  <si>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</si>
  <si>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</si>
  <si>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</si>
  <si>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</si>
  <si>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</si>
  <si>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</si>
  <si>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</si>
  <si>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</si>
  <si>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</si>
  <si>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</si>
  <si>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</si>
  <si>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</si>
  <si>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</si>
  <si>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</si>
  <si>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</si>
  <si>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</si>
  <si>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</si>
  <si>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</si>
  <si>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</si>
  <si>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</si>
  <si>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</si>
  <si>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</si>
  <si>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</si>
  <si>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</si>
  <si>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</si>
  <si>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</si>
  <si>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</si>
  <si>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</si>
  <si>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</si>
  <si>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</si>
  <si>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</si>
  <si>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</si>
  <si>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</si>
  <si>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</si>
  <si>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</si>
  <si>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</si>
  <si>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</si>
  <si>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</si>
  <si>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</si>
  <si>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</si>
  <si>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</si>
  <si>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</si>
  <si>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</si>
  <si>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</si>
  <si>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</si>
  <si>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</si>
  <si>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</si>
  <si>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</si>
  <si>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</si>
  <si>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</si>
  <si>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</si>
  <si>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</si>
  <si>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</si>
  <si>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</si>
  <si>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</si>
  <si>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</si>
  <si>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</si>
  <si>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</si>
  <si>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</si>
  <si>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</si>
  <si>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</si>
  <si>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</si>
  <si>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</si>
  <si>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</si>
  <si>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</si>
  <si>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</si>
  <si>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</si>
  <si>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</si>
  <si>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</si>
  <si>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</si>
  <si>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</si>
  <si>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</si>
  <si>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</si>
  <si>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</si>
  <si>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</si>
  <si>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</si>
  <si>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</si>
  <si>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</si>
  <si>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</si>
  <si>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</si>
  <si>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</si>
  <si>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</si>
  <si>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</si>
  <si>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</si>
  <si>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</si>
  <si>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</si>
  <si>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</si>
  <si>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</si>
  <si>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</si>
  <si>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</si>
  <si>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</si>
  <si>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</si>
  <si>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</si>
  <si>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</si>
  <si>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</si>
  <si>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</si>
  <si>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</si>
  <si>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</si>
  <si>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</si>
  <si>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</si>
  <si>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</si>
  <si>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</si>
  <si>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</si>
  <si>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</si>
  <si>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</si>
  <si>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</si>
  <si>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</si>
  <si>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</si>
  <si>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</si>
  <si>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</si>
  <si>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</si>
  <si>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</si>
  <si>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</si>
  <si>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</si>
  <si>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</si>
  <si>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</si>
  <si>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</si>
  <si>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</si>
  <si>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</si>
  <si>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</si>
  <si>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</si>
  <si>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</si>
  <si>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</si>
  <si>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</si>
  <si>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</si>
  <si>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</si>
  <si>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</si>
  <si>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</si>
  <si>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</si>
  <si>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</si>
  <si>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</si>
  <si>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</si>
  <si>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</si>
  <si>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</si>
  <si>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</si>
  <si>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</si>
  <si>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</si>
  <si>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</si>
  <si>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</si>
  <si>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</si>
  <si>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</si>
  <si>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</si>
  <si>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</si>
  <si>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</si>
  <si>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</si>
  <si>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</si>
  <si>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</si>
  <si>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</si>
  <si>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</si>
  <si>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</si>
  <si>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</si>
  <si>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</si>
  <si>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</si>
  <si>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</si>
  <si>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</si>
  <si>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</si>
  <si>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</si>
  <si>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</si>
  <si>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</si>
  <si>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</si>
  <si>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</si>
  <si>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</si>
  <si>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</si>
  <si>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</si>
  <si>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</si>
  <si>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</si>
  <si>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</si>
  <si>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</si>
  <si>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</si>
  <si>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</si>
  <si>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</si>
  <si>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</si>
  <si>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</si>
  <si>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</si>
  <si>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</si>
  <si>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</si>
  <si>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</si>
  <si>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</si>
  <si>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</si>
  <si>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</si>
  <si>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</si>
  <si>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</si>
  <si>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</si>
  <si>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</si>
  <si>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</si>
  <si>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</si>
  <si>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</si>
  <si>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</si>
  <si>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</si>
  <si>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</si>
  <si>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</si>
  <si>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</si>
  <si>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</si>
  <si>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</si>
  <si>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</si>
  <si>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</si>
  <si>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</si>
  <si>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</si>
  <si>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</si>
  <si>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</si>
  <si>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</si>
  <si>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</si>
  <si>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</si>
  <si>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</si>
  <si>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</si>
  <si>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</si>
  <si>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</si>
  <si>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</si>
  <si>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</si>
  <si>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</si>
  <si>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</si>
  <si>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</si>
  <si>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</si>
  <si>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</si>
  <si>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</si>
  <si>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</si>
  <si>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</si>
  <si>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</si>
  <si>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</si>
  <si>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</si>
  <si>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</si>
  <si>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</si>
  <si>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</si>
  <si>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</si>
  <si>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</si>
  <si>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</si>
  <si>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</si>
  <si>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</si>
  <si>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</si>
  <si>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</si>
  <si>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</si>
  <si>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</si>
  <si>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</si>
  <si>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</si>
  <si>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</si>
  <si>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</si>
  <si>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</si>
  <si>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</si>
  <si>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</si>
  <si>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</si>
  <si>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</si>
  <si>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</si>
  <si>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</si>
  <si>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</si>
  <si>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</si>
  <si>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</si>
  <si>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</si>
  <si>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</si>
  <si>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</si>
  <si>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</si>
  <si>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</si>
  <si>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</si>
  <si>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</si>
  <si>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</si>
  <si>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</si>
  <si>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</si>
  <si>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</si>
  <si>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</si>
  <si>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</si>
  <si>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</si>
  <si>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</si>
  <si>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</si>
  <si>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</si>
  <si>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</si>
  <si>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</si>
  <si>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</si>
  <si>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</si>
  <si>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</si>
  <si>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</si>
  <si>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</si>
  <si>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</si>
  <si>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</si>
  <si>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</si>
  <si>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</si>
  <si>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</si>
  <si>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</si>
  <si>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</si>
  <si>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</si>
  <si>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</si>
  <si>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</si>
  <si>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</si>
  <si>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</si>
  <si>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</si>
  <si>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</si>
  <si>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</si>
  <si>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</si>
  <si>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</si>
  <si>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</si>
  <si>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</si>
  <si>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</si>
  <si>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</si>
  <si>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</si>
  <si>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</si>
  <si>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</si>
  <si>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</si>
  <si>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</si>
  <si>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</si>
  <si>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</si>
  <si>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</si>
  <si>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</si>
  <si>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</si>
  <si>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</si>
  <si>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</si>
  <si>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</si>
  <si>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</si>
  <si>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</si>
  <si>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</si>
  <si>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</si>
  <si>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</si>
  <si>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</si>
  <si>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</si>
  <si>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</si>
  <si>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</si>
  <si>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</si>
  <si>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</si>
  <si>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</si>
  <si>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</si>
  <si>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</si>
  <si>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</si>
  <si>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</si>
  <si>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</si>
  <si>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</si>
  <si>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</si>
  <si>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</si>
  <si>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</si>
  <si>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</si>
  <si>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</si>
  <si>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</si>
  <si>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</si>
  <si>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</si>
  <si>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</si>
  <si>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</si>
  <si>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</si>
  <si>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</si>
  <si>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</si>
  <si>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</si>
  <si>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</si>
  <si>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</si>
  <si>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</si>
  <si>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</si>
  <si>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</si>
  <si>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</si>
  <si>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</si>
  <si>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</si>
  <si>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</si>
  <si>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</si>
  <si>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</si>
  <si>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</si>
  <si>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</si>
  <si>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</si>
  <si>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</si>
  <si>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</si>
  <si>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</si>
  <si>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</si>
  <si>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</si>
  <si>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</si>
  <si>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</si>
  <si>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</si>
  <si>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</si>
  <si>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</si>
  <si>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</si>
  <si>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</si>
  <si>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</si>
  <si>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</si>
  <si>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</si>
  <si>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</si>
  <si>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</si>
  <si>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</si>
  <si>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</si>
  <si>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</si>
  <si>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</si>
  <si>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</si>
  <si>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</si>
  <si>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</si>
  <si>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</si>
  <si>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</si>
  <si>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</si>
  <si>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</si>
  <si>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</si>
  <si>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</si>
  <si>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</si>
  <si>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</si>
  <si>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</si>
  <si>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</si>
  <si>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</si>
  <si>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</si>
  <si>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</si>
  <si>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</si>
  <si>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</si>
  <si>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</si>
  <si>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</si>
  <si>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</si>
  <si>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</si>
  <si>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</si>
  <si>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</si>
  <si>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</si>
  <si>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</si>
  <si>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</si>
  <si>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</si>
  <si>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</si>
  <si>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</si>
  <si>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</si>
  <si>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</si>
  <si>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</si>
  <si>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</si>
  <si>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</si>
  <si>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</si>
  <si>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</si>
  <si>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</si>
  <si>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</si>
  <si>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</si>
  <si>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</si>
  <si>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</si>
  <si>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</si>
  <si>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</si>
  <si>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</si>
  <si>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</si>
  <si>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</si>
  <si>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</si>
  <si>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</si>
  <si>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</si>
  <si>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</si>
  <si>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</si>
  <si>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</si>
  <si>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</si>
  <si>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</si>
  <si>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</si>
  <si>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</si>
  <si>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</si>
  <si>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</si>
  <si>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</si>
  <si>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</si>
  <si>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</si>
  <si>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</si>
  <si>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</si>
  <si>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</si>
  <si>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</si>
  <si>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</si>
  <si>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</si>
  <si>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</si>
  <si>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</si>
  <si>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</si>
  <si>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</si>
  <si>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</si>
  <si>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</si>
  <si>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</si>
  <si>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</si>
  <si>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</si>
  <si>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</si>
  <si>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</si>
  <si>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</si>
  <si>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</si>
  <si>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</si>
  <si>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</si>
  <si>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</si>
  <si>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</si>
  <si>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</si>
  <si>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</si>
  <si>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</si>
  <si>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</si>
  <si>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</si>
  <si>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</si>
  <si>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</si>
  <si>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</si>
  <si>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</si>
  <si>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</si>
  <si>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</si>
  <si>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</si>
  <si>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</si>
  <si>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</si>
  <si>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</si>
  <si>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</si>
  <si>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</si>
  <si>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</si>
  <si>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</si>
  <si>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</si>
  <si>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</si>
  <si>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</si>
  <si>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</si>
  <si>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</si>
  <si>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</si>
  <si>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</si>
  <si>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</si>
  <si>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</si>
  <si>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</si>
  <si>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</si>
  <si>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</si>
  <si>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</si>
  <si>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</si>
  <si>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</si>
  <si>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</si>
  <si>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</si>
  <si>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</si>
  <si>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</si>
  <si>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</si>
  <si>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</si>
  <si>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</si>
  <si>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</si>
  <si>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</si>
  <si>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</si>
  <si>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</si>
  <si>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</si>
  <si>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</si>
  <si>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</si>
  <si>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</si>
  <si>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</si>
  <si>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</si>
  <si>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</si>
  <si>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</si>
  <si>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</si>
  <si>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</si>
  <si>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</si>
  <si>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</si>
  <si>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</si>
  <si>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</si>
  <si>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</si>
  <si>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</si>
  <si>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</si>
  <si>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</si>
  <si>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</si>
  <si>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</si>
  <si>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</si>
  <si>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</si>
  <si>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</si>
  <si>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</si>
  <si>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</si>
  <si>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</si>
  <si>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</si>
  <si>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</si>
  <si>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</si>
  <si>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</si>
  <si>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</si>
  <si>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</si>
  <si>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</si>
  <si>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</si>
  <si>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</si>
  <si>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</si>
  <si>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</si>
  <si>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</si>
  <si>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</si>
  <si>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</si>
  <si>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</si>
  <si>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</si>
  <si>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</si>
  <si>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</si>
  <si>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</si>
  <si>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</si>
  <si>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</si>
  <si>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</si>
  <si>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</si>
  <si>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</si>
  <si>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</si>
  <si>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</si>
  <si>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</si>
  <si>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</si>
  <si>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</si>
  <si>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</si>
  <si>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</si>
  <si>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</si>
  <si>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</si>
  <si>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</si>
  <si>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</si>
  <si>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</si>
  <si>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</si>
  <si>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</si>
  <si>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</si>
  <si>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</si>
  <si>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</si>
  <si>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</si>
  <si>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</si>
  <si>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</si>
  <si>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</si>
  <si>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</si>
  <si>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</si>
  <si>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</si>
  <si>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</si>
  <si>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</si>
  <si>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</si>
  <si>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</si>
  <si>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</si>
  <si>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</si>
  <si>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</si>
  <si>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</si>
  <si>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</si>
  <si>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</si>
  <si>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</si>
  <si>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</si>
  <si>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</si>
  <si>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</si>
  <si>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</si>
  <si>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</si>
  <si>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</si>
  <si>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</si>
  <si>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</si>
  <si>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</si>
  <si>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</si>
  <si>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</si>
  <si>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</si>
  <si>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</si>
  <si>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</si>
  <si>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</si>
  <si>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</si>
  <si>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</si>
  <si>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</si>
  <si>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</si>
  <si>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</si>
  <si>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</si>
  <si>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</si>
  <si>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</si>
  <si>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</si>
  <si>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</si>
  <si>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</si>
  <si>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</si>
  <si>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</si>
  <si>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</si>
  <si>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</si>
  <si>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</si>
  <si>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</si>
  <si>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</si>
  <si>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</si>
  <si>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</si>
  <si>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</si>
  <si>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</si>
  <si>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</si>
  <si>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</si>
  <si>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</si>
  <si>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</si>
  <si>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</si>
  <si>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</si>
  <si>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</si>
  <si>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</si>
  <si>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</si>
  <si>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</si>
  <si>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</si>
  <si>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</si>
  <si>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</si>
  <si>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</si>
  <si>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</si>
  <si>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</si>
  <si>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</si>
  <si>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</si>
  <si>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</si>
  <si>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</si>
  <si>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</si>
  <si>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</si>
  <si>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</si>
  <si>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</si>
  <si>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</si>
  <si>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</si>
  <si>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</si>
  <si>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</si>
  <si>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</si>
  <si>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</si>
  <si>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</si>
  <si>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</si>
  <si>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</si>
  <si>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</si>
  <si>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</si>
  <si>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</si>
  <si>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</si>
  <si>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</si>
  <si>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</si>
  <si>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</si>
  <si>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</si>
  <si>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</si>
  <si>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</si>
  <si>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</si>
  <si>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</si>
  <si>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</si>
  <si>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</si>
  <si>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</si>
  <si>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</si>
  <si>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</si>
  <si>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</si>
  <si>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</si>
  <si>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</si>
  <si>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</si>
  <si>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</si>
  <si>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</si>
  <si>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</si>
  <si>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</si>
  <si>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</si>
  <si>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</si>
  <si>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</si>
  <si>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</si>
  <si>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</si>
  <si>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</si>
  <si>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</si>
  <si>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</si>
  <si>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</si>
  <si>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</si>
  <si>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</si>
  <si>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</si>
  <si>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</si>
  <si>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</si>
  <si>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</si>
  <si>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</si>
  <si>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</si>
  <si>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</si>
  <si>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</si>
  <si>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</si>
  <si>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</si>
  <si>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</si>
  <si>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</si>
  <si>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</si>
  <si>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</si>
  <si>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</si>
  <si>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</si>
  <si>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</si>
  <si>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</si>
  <si>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</si>
  <si>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</si>
  <si>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</si>
  <si>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</si>
  <si>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</si>
  <si>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</si>
  <si>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</si>
  <si>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</si>
  <si>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</si>
  <si>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</si>
  <si>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</si>
  <si>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</si>
  <si>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</si>
  <si>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</si>
  <si>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</si>
  <si>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</si>
  <si>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</si>
  <si>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</si>
  <si>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</si>
  <si>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</si>
  <si>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</si>
  <si>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</si>
  <si>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</si>
  <si>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</si>
  <si>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</si>
  <si>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</si>
  <si>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</si>
  <si>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</si>
  <si>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</si>
  <si>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</si>
  <si>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</si>
  <si>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</si>
  <si>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</si>
  <si>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</si>
  <si>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</si>
  <si>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</si>
  <si>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</si>
  <si>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</si>
  <si>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</si>
  <si>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</si>
  <si>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</si>
  <si>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</si>
  <si>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</si>
  <si>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</si>
  <si>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</si>
  <si>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</si>
  <si>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</si>
  <si>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</si>
  <si>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</si>
  <si>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</si>
  <si>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</si>
  <si>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</si>
  <si>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</si>
  <si>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</si>
  <si>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</si>
  <si>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</si>
  <si>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</si>
  <si>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</si>
  <si>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</si>
  <si>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</si>
  <si>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</si>
  <si>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</si>
  <si>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</si>
  <si>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</si>
  <si>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</si>
  <si>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</si>
  <si>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</si>
  <si>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</si>
  <si>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</si>
  <si>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</si>
  <si>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</si>
  <si>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</si>
  <si>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</si>
  <si>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</si>
  <si>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</si>
  <si>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</si>
  <si>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</si>
  <si>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</si>
  <si>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</si>
  <si>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</si>
  <si>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</si>
  <si>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</si>
  <si>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</si>
  <si>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</si>
  <si>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</si>
  <si>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</si>
  <si>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</si>
  <si>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</si>
  <si>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</si>
  <si>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</si>
  <si>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</si>
  <si>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</si>
  <si>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</si>
  <si>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</si>
  <si>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</si>
  <si>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</si>
  <si>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</si>
  <si>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</si>
  <si>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</si>
  <si>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</si>
  <si>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</si>
  <si>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</si>
  <si>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</si>
  <si>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</si>
  <si>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</si>
  <si>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</si>
  <si>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</si>
  <si>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</si>
  <si>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</si>
  <si>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</si>
  <si>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</si>
  <si>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</si>
  <si>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</si>
  <si>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</si>
  <si>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</si>
  <si>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</si>
  <si>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</si>
  <si>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</si>
  <si>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</si>
  <si>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</si>
  <si>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</si>
  <si>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</si>
  <si>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</si>
  <si>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</si>
  <si>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</si>
  <si>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</si>
  <si>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</si>
  <si>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</si>
  <si>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</si>
  <si>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</si>
  <si>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</si>
  <si>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</si>
  <si>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</si>
  <si>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</si>
  <si>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</si>
  <si>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</si>
  <si>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</si>
  <si>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</si>
  <si>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</si>
  <si>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</si>
  <si>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</si>
  <si>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</si>
  <si>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</si>
  <si>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</si>
  <si>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</si>
  <si>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</si>
  <si>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</si>
  <si>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</si>
  <si>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</si>
  <si>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</si>
  <si>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</si>
  <si>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</si>
  <si>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</si>
  <si>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</si>
  <si>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</si>
  <si>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</si>
  <si>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</si>
  <si>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</si>
  <si>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</si>
  <si>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</si>
  <si>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</si>
  <si>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</si>
  <si>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</si>
  <si>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</si>
  <si>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</si>
  <si>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</si>
  <si>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</si>
  <si>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</si>
  <si>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</si>
  <si>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</si>
  <si>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</si>
  <si>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</si>
  <si>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</si>
  <si>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</si>
  <si>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</si>
  <si>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</si>
  <si>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</si>
  <si>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</si>
  <si>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</si>
  <si>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</si>
  <si>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</si>
  <si>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</si>
  <si>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</si>
  <si>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</si>
  <si>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</si>
  <si>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</si>
  <si>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</si>
  <si>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</si>
  <si>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</si>
  <si>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</si>
  <si>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</si>
  <si>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</si>
  <si>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</si>
  <si>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</si>
  <si>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</si>
  <si>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</si>
  <si>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</si>
  <si>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</si>
  <si>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</si>
  <si>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</si>
  <si>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</si>
  <si>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</si>
  <si>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</si>
  <si>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</si>
  <si>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</si>
  <si>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</si>
  <si>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</si>
  <si>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</si>
  <si>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</si>
  <si>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</si>
  <si>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</si>
  <si>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</si>
  <si>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</si>
  <si>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</si>
  <si>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</si>
  <si>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</si>
  <si>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</si>
  <si>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</si>
  <si>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</si>
  <si>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</si>
  <si>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</si>
  <si>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</si>
  <si>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</si>
  <si>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</si>
  <si>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</si>
  <si>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</si>
  <si>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</si>
  <si>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</si>
  <si>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</si>
  <si>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</si>
  <si>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</si>
  <si>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</si>
  <si>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</si>
  <si>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</si>
  <si>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</si>
  <si>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</si>
  <si>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</si>
  <si>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</si>
  <si>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</si>
  <si>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</si>
  <si>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</si>
  <si>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</si>
  <si>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</si>
  <si>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</si>
  <si>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</si>
  <si>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</si>
  <si>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</si>
  <si>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</si>
  <si>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</si>
  <si>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</si>
  <si>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</si>
  <si>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</si>
  <si>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</si>
  <si>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</si>
  <si>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</si>
  <si>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</si>
  <si>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</si>
  <si>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</si>
  <si>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</si>
  <si>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</si>
  <si>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</si>
  <si>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</si>
  <si>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</si>
  <si>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</si>
  <si>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</si>
  <si>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</si>
  <si>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</si>
  <si>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</si>
  <si>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</si>
  <si>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</si>
  <si>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</si>
  <si>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</si>
  <si>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</si>
  <si>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</si>
  <si>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</si>
  <si>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</si>
  <si>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</si>
  <si>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</si>
  <si>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</si>
  <si>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</si>
  <si>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</si>
  <si>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</si>
  <si>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</si>
  <si>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</si>
  <si>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</si>
  <si>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</si>
  <si>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</si>
  <si>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</si>
  <si>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</si>
  <si>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</si>
  <si>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</si>
  <si>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</si>
  <si>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</si>
  <si>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</si>
  <si>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</si>
  <si>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</si>
  <si>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</si>
  <si>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</si>
  <si>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</si>
  <si>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</si>
  <si>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</si>
  <si>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</si>
  <si>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</si>
  <si>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</si>
  <si>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</si>
  <si>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</si>
  <si>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</si>
  <si>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</si>
  <si>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</si>
  <si>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</si>
  <si>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</si>
  <si>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</si>
  <si>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</si>
  <si>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</si>
  <si>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</si>
  <si>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</si>
  <si>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</si>
  <si>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</si>
  <si>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</si>
  <si>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</si>
  <si>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</si>
  <si>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</si>
  <si>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</si>
  <si>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</si>
  <si>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</si>
  <si>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</si>
  <si>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</si>
  <si>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</si>
  <si>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</si>
  <si>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</si>
  <si>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</si>
  <si>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</si>
  <si>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</si>
  <si>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</si>
  <si>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</si>
  <si>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</si>
  <si>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</si>
  <si>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</si>
  <si>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</si>
  <si>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</si>
  <si>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</si>
  <si>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</si>
  <si>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</si>
  <si>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</si>
  <si>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</si>
  <si>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</si>
  <si>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</si>
  <si>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</si>
  <si>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</si>
  <si>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</si>
  <si>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</si>
  <si>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</si>
  <si>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</si>
  <si>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</si>
  <si>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</si>
  <si>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</si>
  <si>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</si>
  <si>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</si>
  <si>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</si>
  <si>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</si>
  <si>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</si>
  <si>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</si>
  <si>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</si>
  <si>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</si>
  <si>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</si>
  <si>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</si>
  <si>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</si>
  <si>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</si>
  <si>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</si>
  <si>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</si>
  <si>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</si>
  <si>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</si>
  <si>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</si>
  <si>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</si>
  <si>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</si>
  <si>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</si>
  <si>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</si>
  <si>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</si>
  <si>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</si>
  <si>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</si>
  <si>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</si>
  <si>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</si>
  <si>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</si>
  <si>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</si>
  <si>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</si>
  <si>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</si>
  <si>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</si>
  <si>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</si>
  <si>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</si>
  <si>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</si>
  <si>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</si>
  <si>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</si>
  <si>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</si>
  <si>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</si>
  <si>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</si>
  <si>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</si>
  <si>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</si>
  <si>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</si>
  <si>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</si>
  <si>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</si>
  <si>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</si>
  <si>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</si>
  <si>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</si>
  <si>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</si>
  <si>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</si>
  <si>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</si>
  <si>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</si>
  <si>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</si>
  <si>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</si>
  <si>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</si>
  <si>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</si>
  <si>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</si>
  <si>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</si>
  <si>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</si>
  <si>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</si>
  <si>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</si>
  <si>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</si>
  <si>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</si>
  <si>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</si>
  <si>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</si>
  <si>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</si>
  <si>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</si>
  <si>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</si>
  <si>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</si>
  <si>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</si>
  <si>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</si>
  <si>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</si>
  <si>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</si>
  <si>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</si>
  <si>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</si>
  <si>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</si>
  <si>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</si>
  <si>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</si>
  <si>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</si>
  <si>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</si>
  <si>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</si>
  <si>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</si>
  <si>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</si>
  <si>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</si>
  <si>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</si>
  <si>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</si>
  <si>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</si>
  <si>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</si>
  <si>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</si>
  <si>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</si>
  <si>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</si>
  <si>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</si>
  <si>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</si>
  <si>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</si>
  <si>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</si>
  <si>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</si>
  <si>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</si>
  <si>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</si>
  <si>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</si>
  <si>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</si>
  <si>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</si>
  <si>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</si>
  <si>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</si>
  <si>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</si>
  <si>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</si>
  <si>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</si>
  <si>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</si>
  <si>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</si>
  <si>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</si>
  <si>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</si>
  <si>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</si>
  <si>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</si>
  <si>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</si>
  <si>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</si>
  <si>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</si>
  <si>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</si>
  <si>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</si>
  <si>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</si>
  <si>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</si>
  <si>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</si>
  <si>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</si>
  <si>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</si>
  <si>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</si>
  <si>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</si>
  <si>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</si>
  <si>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</si>
  <si>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</si>
  <si>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</si>
  <si>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</si>
  <si>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</si>
  <si>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</si>
  <si>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</si>
  <si>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</si>
  <si>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</si>
  <si>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</si>
  <si>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</si>
  <si>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</si>
  <si>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</si>
  <si>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</si>
  <si>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</si>
  <si>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</si>
  <si>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</si>
  <si>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</si>
  <si>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</si>
  <si>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</si>
  <si>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</si>
  <si>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</si>
  <si>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</si>
  <si>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</si>
  <si>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</si>
  <si>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</si>
  <si>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</si>
  <si>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</si>
  <si>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</si>
  <si>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</si>
  <si>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</si>
  <si>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</si>
  <si>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</si>
  <si>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</si>
  <si>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</si>
  <si>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</si>
  <si>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</si>
  <si>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</si>
  <si>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</si>
  <si>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</si>
  <si>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</si>
  <si>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</si>
  <si>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</si>
  <si>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</si>
  <si>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</si>
  <si>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</si>
  <si>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</si>
  <si>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</si>
  <si>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</si>
  <si>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</si>
  <si>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</si>
  <si>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</si>
  <si>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</si>
  <si>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</si>
  <si>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</si>
  <si>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</si>
  <si>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</si>
  <si>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</si>
  <si>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</si>
  <si>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</si>
  <si>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</si>
  <si>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</si>
  <si>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</si>
  <si>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</si>
  <si>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</si>
  <si>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</si>
  <si>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</si>
  <si>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</si>
  <si>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</si>
  <si>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</si>
  <si>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</si>
  <si>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</si>
  <si>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</si>
  <si>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</si>
  <si>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</si>
  <si>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</si>
  <si>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</si>
  <si>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</si>
  <si>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</si>
  <si>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</si>
  <si>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</si>
  <si>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</si>
  <si>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</si>
  <si>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</si>
  <si>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</si>
  <si>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</si>
  <si>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</si>
  <si>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</si>
  <si>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</si>
  <si>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</si>
  <si>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</si>
  <si>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</si>
  <si>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</si>
  <si>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</si>
  <si>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</si>
  <si>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</si>
  <si>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</si>
  <si>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</si>
  <si>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</si>
  <si>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</si>
  <si>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</si>
  <si>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</si>
  <si>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</si>
  <si>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</si>
  <si>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</si>
  <si>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</si>
  <si>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</si>
  <si>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</si>
  <si>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</si>
  <si>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</si>
  <si>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</si>
  <si>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</si>
  <si>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</si>
  <si>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</si>
  <si>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</si>
  <si>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</si>
  <si>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</si>
  <si>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</si>
  <si>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</si>
  <si>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</si>
  <si>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</si>
  <si>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</si>
  <si>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</si>
  <si>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</si>
  <si>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</si>
  <si>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</si>
  <si>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</si>
  <si>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</si>
  <si>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</si>
  <si>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</si>
  <si>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</si>
  <si>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</si>
  <si>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</si>
  <si>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</si>
  <si>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</si>
  <si>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</si>
  <si>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</si>
  <si>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</si>
  <si>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</si>
  <si>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</si>
  <si>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</si>
  <si>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</si>
  <si>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</si>
  <si>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</si>
  <si>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</si>
  <si>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</si>
  <si>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</si>
  <si>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</si>
  <si>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</si>
  <si>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</si>
  <si>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</si>
  <si>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</si>
  <si>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</si>
  <si>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</si>
  <si>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</si>
  <si>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</si>
  <si>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</si>
  <si>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</si>
  <si>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</si>
  <si>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</si>
  <si>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</si>
  <si>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</si>
  <si>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</si>
  <si>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</si>
  <si>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</si>
  <si>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</si>
  <si>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</si>
  <si>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</si>
  <si>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</si>
  <si>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</si>
  <si>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</si>
  <si>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</si>
  <si>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</si>
  <si>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</si>
  <si>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</si>
  <si>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</si>
  <si>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</si>
  <si>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</si>
  <si>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</si>
  <si>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</si>
  <si>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</si>
  <si>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</si>
  <si>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</si>
  <si>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</si>
  <si>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</si>
  <si>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</si>
  <si>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</si>
  <si>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</si>
  <si>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</si>
  <si>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</si>
  <si>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</si>
  <si>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</si>
  <si>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</si>
  <si>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</si>
  <si>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</si>
  <si>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</si>
  <si>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</si>
  <si>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</si>
  <si>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</si>
  <si>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</si>
  <si>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</si>
  <si>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</si>
  <si>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</si>
  <si>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</si>
  <si>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</si>
  <si>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</si>
  <si>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</si>
  <si>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</si>
  <si>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</si>
  <si>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</si>
  <si>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</si>
  <si>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</si>
  <si>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</si>
  <si>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</si>
  <si>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</si>
  <si>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</si>
  <si>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</si>
  <si>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</si>
  <si>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</si>
  <si>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</si>
  <si>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</si>
  <si>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</si>
  <si>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</si>
  <si>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</si>
  <si>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</si>
  <si>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</si>
  <si>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</si>
  <si>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</si>
  <si>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</si>
  <si>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</si>
  <si>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</si>
  <si>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</si>
  <si>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</si>
  <si>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</si>
  <si>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</si>
  <si>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</si>
  <si>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</si>
  <si>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</si>
  <si>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</si>
  <si>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</si>
  <si>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</si>
  <si>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</si>
  <si>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</si>
  <si>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</si>
  <si>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</si>
  <si>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</si>
  <si>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</si>
  <si>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</si>
  <si>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</si>
  <si>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</si>
  <si>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</si>
  <si>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</si>
  <si>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</si>
  <si>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</si>
  <si>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</si>
  <si>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</si>
  <si>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</si>
  <si>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</si>
  <si>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</si>
  <si>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</si>
  <si>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</si>
  <si>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</si>
  <si>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</si>
  <si>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</si>
  <si>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</si>
  <si>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</si>
  <si>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</si>
  <si>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</si>
  <si>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</si>
  <si>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</si>
  <si>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</si>
  <si>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</si>
  <si>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</si>
  <si>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</si>
  <si>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</si>
  <si>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</si>
  <si>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</si>
  <si>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</si>
  <si>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</si>
  <si>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</si>
  <si>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</si>
  <si>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</si>
  <si>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</si>
  <si>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</si>
  <si>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</si>
  <si>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</si>
  <si>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</si>
  <si>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</si>
  <si>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</si>
  <si>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</si>
  <si>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</si>
  <si>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</si>
  <si>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</si>
  <si>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</si>
  <si>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</si>
  <si>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</si>
  <si>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</si>
  <si>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</si>
  <si>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</si>
  <si>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</si>
  <si>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</si>
  <si>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</si>
  <si>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</si>
  <si>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</si>
  <si>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</si>
  <si>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</si>
  <si>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</si>
  <si>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</si>
  <si>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</si>
  <si>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</si>
  <si>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</si>
  <si>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</si>
  <si>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</si>
  <si>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</si>
  <si>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</si>
  <si>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</si>
  <si>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</si>
  <si>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</si>
  <si>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</si>
  <si>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</si>
  <si>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</si>
  <si>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</si>
  <si>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</si>
  <si>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</si>
  <si>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</si>
  <si>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</si>
  <si>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</si>
  <si>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</si>
  <si>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</si>
  <si>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</si>
  <si>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</si>
  <si>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</si>
  <si>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</si>
  <si>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</si>
  <si>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</si>
  <si>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</si>
  <si>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</si>
  <si>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</si>
  <si>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</si>
  <si>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</si>
  <si>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</si>
  <si>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</si>
  <si>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</si>
  <si>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</si>
  <si>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</si>
  <si>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</si>
  <si>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</si>
  <si>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</si>
  <si>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</si>
  <si>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</si>
  <si>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</si>
  <si>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</si>
  <si>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</si>
  <si>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</si>
  <si>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</si>
  <si>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</si>
  <si>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</si>
  <si>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</si>
  <si>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</si>
  <si>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</si>
  <si>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</si>
  <si>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</si>
  <si>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</si>
  <si>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</si>
  <si>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</si>
  <si>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</si>
  <si>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</si>
  <si>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</si>
  <si>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</si>
  <si>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</si>
  <si>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</si>
  <si>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</si>
  <si>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</si>
  <si>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</si>
  <si>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</si>
  <si>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</si>
  <si>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</si>
  <si>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</si>
  <si>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</si>
  <si>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</si>
  <si>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</si>
  <si>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</si>
  <si>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</si>
  <si>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</si>
  <si>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</si>
  <si>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</si>
  <si>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</si>
  <si>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</si>
  <si>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</si>
  <si>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</si>
  <si>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</si>
  <si>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</si>
  <si>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</si>
  <si>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</si>
  <si>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</si>
  <si>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</si>
  <si>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</si>
  <si>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</si>
  <si>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</si>
  <si>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</si>
  <si>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</si>
  <si>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</si>
  <si>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</si>
  <si>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</si>
  <si>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</si>
  <si>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</si>
  <si>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</si>
  <si>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</si>
  <si>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</si>
  <si>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</si>
  <si>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</si>
  <si>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</si>
  <si>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</si>
  <si>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</si>
  <si>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</si>
  <si>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</si>
  <si>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</si>
  <si>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</si>
  <si>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</si>
  <si>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</si>
  <si>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</si>
  <si>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</si>
  <si>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</si>
  <si>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</si>
  <si>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</si>
  <si>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</si>
  <si>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</si>
  <si>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</si>
  <si>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</si>
  <si>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</si>
  <si>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</si>
  <si>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</si>
  <si>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</si>
  <si>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</si>
  <si>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</si>
  <si>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</si>
  <si>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</si>
  <si>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</si>
  <si>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</si>
  <si>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</si>
  <si>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</si>
  <si>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</si>
  <si>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</si>
  <si>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</si>
  <si>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</si>
  <si>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</si>
  <si>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</si>
  <si>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</si>
  <si>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</si>
  <si>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</si>
  <si>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</si>
  <si>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</si>
  <si>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</si>
  <si>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</si>
  <si>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</si>
  <si>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</si>
  <si>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</si>
  <si>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</si>
  <si>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</si>
  <si>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</si>
  <si>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</si>
  <si>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</si>
  <si>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</si>
  <si>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</si>
  <si>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</si>
  <si>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</si>
  <si>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</si>
  <si>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</si>
  <si>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</si>
  <si>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</si>
  <si>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</si>
  <si>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</si>
  <si>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</si>
  <si>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</si>
  <si>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</si>
  <si>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</si>
  <si>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</si>
  <si>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</si>
  <si>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</si>
  <si>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</si>
  <si>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</si>
  <si>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</si>
  <si>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</si>
  <si>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</si>
  <si>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</si>
  <si>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</si>
  <si>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</si>
  <si>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</si>
  <si>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</si>
  <si>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</si>
  <si>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</si>
  <si>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</si>
  <si>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</si>
  <si>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</si>
  <si>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</si>
  <si>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</si>
  <si>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</si>
  <si>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</si>
  <si>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</si>
  <si>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</si>
  <si>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</si>
  <si>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</si>
  <si>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</si>
  <si>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</si>
  <si>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</si>
  <si>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</si>
  <si>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</si>
  <si>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</si>
  <si>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</si>
  <si>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</si>
  <si>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</si>
  <si>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</si>
  <si>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</si>
  <si>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</si>
  <si>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</si>
  <si>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</si>
  <si>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</si>
  <si>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</si>
  <si>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</si>
  <si>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</si>
  <si>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</si>
  <si>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</si>
  <si>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</si>
  <si>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</si>
  <si>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</si>
  <si>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</si>
  <si>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</si>
  <si>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</si>
  <si>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</si>
  <si>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</si>
  <si>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</si>
  <si>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</si>
  <si>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</si>
  <si>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</si>
  <si>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</si>
  <si>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</si>
  <si>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</si>
  <si>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</si>
  <si>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</si>
  <si>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</si>
  <si>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</si>
  <si>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</si>
  <si>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</si>
  <si>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</si>
  <si>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</si>
  <si>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</si>
  <si>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</si>
  <si>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</si>
  <si>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</si>
  <si>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</si>
  <si>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</si>
  <si>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</si>
  <si>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</si>
  <si>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</si>
  <si>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</si>
  <si>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</si>
  <si>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</si>
  <si>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</si>
  <si>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</si>
  <si>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</si>
  <si>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</si>
  <si>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</si>
  <si>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</si>
  <si>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</si>
  <si>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</si>
  <si>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</si>
  <si>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</si>
  <si>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</si>
  <si>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</si>
  <si>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</si>
  <si>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</si>
  <si>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</si>
  <si>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</si>
  <si>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</si>
  <si>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</si>
  <si>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</si>
  <si>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</si>
  <si>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</si>
  <si>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</si>
  <si>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</si>
  <si>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</si>
  <si>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</si>
  <si>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</si>
  <si>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</si>
  <si>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</si>
  <si>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</si>
  <si>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</si>
  <si>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</si>
  <si>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</si>
  <si>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</si>
  <si>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</si>
  <si>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</si>
  <si>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</si>
  <si>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</si>
  <si>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</si>
  <si>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</si>
  <si>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</si>
  <si>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</si>
  <si>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</si>
  <si>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</si>
  <si>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</si>
  <si>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</si>
  <si>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</si>
  <si>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</si>
  <si>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</si>
  <si>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</si>
  <si>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</si>
  <si>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</si>
  <si>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</si>
  <si>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</si>
  <si>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</si>
  <si>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</si>
  <si>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</si>
  <si>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</si>
  <si>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</si>
  <si>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</si>
  <si>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</si>
  <si>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</si>
  <si>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</si>
  <si>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</si>
  <si>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</si>
  <si>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</si>
  <si>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</si>
  <si>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</si>
  <si>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</si>
  <si>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</si>
  <si>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</si>
  <si>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</si>
  <si>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</si>
  <si>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</si>
  <si>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</si>
  <si>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</si>
  <si>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</si>
  <si>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</si>
  <si>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</si>
  <si>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</si>
  <si>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</si>
  <si>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</si>
  <si>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</si>
  <si>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</si>
  <si>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</si>
  <si>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</si>
  <si>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</si>
  <si>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</si>
  <si>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</si>
  <si>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</si>
  <si>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</si>
  <si>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</si>
  <si>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</si>
  <si>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</si>
  <si>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</si>
  <si>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</si>
  <si>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</si>
  <si>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</si>
  <si>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</si>
  <si>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</si>
  <si>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</si>
  <si>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</si>
  <si>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</si>
  <si>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</si>
  <si>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</si>
  <si>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</si>
  <si>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</si>
  <si>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</si>
  <si>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</si>
  <si>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</si>
  <si>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</si>
  <si>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</si>
  <si>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</si>
  <si>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</si>
  <si>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</si>
  <si>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</si>
  <si>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</si>
  <si>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</si>
  <si>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</si>
  <si>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</si>
  <si>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</si>
  <si>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</si>
  <si>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</si>
  <si>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</si>
  <si>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</si>
  <si>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</si>
  <si>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</si>
  <si>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</si>
  <si>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</si>
  <si>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</si>
  <si>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</si>
  <si>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</si>
  <si>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</si>
  <si>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</si>
  <si>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</si>
  <si>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</si>
  <si>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</si>
  <si>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</si>
  <si>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</si>
  <si>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</si>
  <si>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</si>
  <si>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</si>
  <si>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</si>
  <si>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</si>
  <si>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</si>
  <si>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</si>
  <si>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</si>
  <si>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</si>
  <si>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</si>
  <si>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</si>
  <si>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</si>
  <si>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</si>
  <si>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</si>
  <si>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</si>
  <si>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</si>
  <si>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</si>
  <si>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</si>
  <si>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</si>
  <si>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</si>
  <si>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</si>
  <si>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</si>
  <si>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</si>
  <si>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</si>
  <si>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</si>
  <si>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</si>
  <si>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</si>
  <si>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</si>
  <si>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</si>
  <si>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</si>
  <si>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</si>
  <si>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</si>
  <si>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</si>
  <si>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</si>
  <si>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</si>
  <si>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</si>
  <si>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</si>
  <si>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</si>
  <si>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</si>
  <si>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</si>
  <si>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</si>
  <si>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</si>
  <si>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</si>
  <si>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</si>
  <si>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</si>
  <si>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</si>
  <si>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</si>
  <si>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</si>
  <si>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</si>
  <si>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</si>
  <si>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</si>
  <si>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</si>
  <si>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</si>
  <si>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</si>
  <si>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</si>
  <si>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</si>
  <si>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</si>
  <si>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</si>
  <si>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</si>
  <si>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</si>
  <si>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</si>
  <si>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</si>
  <si>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</si>
  <si>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</si>
  <si>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</si>
  <si>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</si>
  <si>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</si>
  <si>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</si>
  <si>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</si>
  <si>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</si>
  <si>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</si>
  <si>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</si>
  <si>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</si>
  <si>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</si>
  <si>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</si>
  <si>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</si>
  <si>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</si>
  <si>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</si>
  <si>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</si>
  <si>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</si>
  <si>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</si>
  <si>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</si>
  <si>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</si>
  <si>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</si>
  <si>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</si>
  <si>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</si>
  <si>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</si>
  <si>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</si>
  <si>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</si>
  <si>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</si>
  <si>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</si>
  <si>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</si>
  <si>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</si>
  <si>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</si>
  <si>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</si>
  <si>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</si>
  <si>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</si>
  <si>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</si>
  <si>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</si>
  <si>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</si>
  <si>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</si>
  <si>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</si>
  <si>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</si>
  <si>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</si>
  <si>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</si>
  <si>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</si>
  <si>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</si>
  <si>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</si>
  <si>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</si>
  <si>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</si>
  <si>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</si>
  <si>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</si>
  <si>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</si>
  <si>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</si>
  <si>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</si>
  <si>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</si>
  <si>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</si>
  <si>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</si>
  <si>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</si>
  <si>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</si>
  <si>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</si>
  <si>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</si>
  <si>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</si>
  <si>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</si>
  <si>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</si>
  <si>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</si>
  <si>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</si>
  <si>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</si>
  <si>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</si>
  <si>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</si>
  <si>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</si>
  <si>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</si>
  <si>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</si>
  <si>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</si>
  <si>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</si>
  <si>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</si>
  <si>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</si>
  <si>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</si>
  <si>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</si>
  <si>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</si>
  <si>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</si>
  <si>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</si>
  <si>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</si>
  <si>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</si>
  <si>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</si>
  <si>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</si>
  <si>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</si>
  <si>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</si>
  <si>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</si>
  <si>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</si>
  <si>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</si>
  <si>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</si>
  <si>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</si>
  <si>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</si>
  <si>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</si>
  <si>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</si>
  <si>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</si>
  <si>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</si>
  <si>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</si>
  <si>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</si>
  <si>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</si>
  <si>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</si>
  <si>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</si>
  <si>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</si>
  <si>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</si>
  <si>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</si>
  <si>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</si>
  <si>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</si>
  <si>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</si>
  <si>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</si>
  <si>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</si>
  <si>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</si>
  <si>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</si>
  <si>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</si>
  <si>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</si>
  <si>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</si>
  <si>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</si>
  <si>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</si>
  <si>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</si>
  <si>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</si>
  <si>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</si>
  <si>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</si>
  <si>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</si>
  <si>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</si>
  <si>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</si>
  <si>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</si>
  <si>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</si>
  <si>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</si>
  <si>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</si>
  <si>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</si>
  <si>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</si>
  <si>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</si>
  <si>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</si>
  <si>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</si>
  <si>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</si>
  <si>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</si>
  <si>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</si>
  <si>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</si>
  <si>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</si>
  <si>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</si>
  <si>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</si>
  <si>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</si>
  <si>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</si>
  <si>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</si>
  <si>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</si>
  <si>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</si>
  <si>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</si>
  <si>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</si>
  <si>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</si>
  <si>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</si>
  <si>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</si>
  <si>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</si>
  <si>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</si>
  <si>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</si>
  <si>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</si>
  <si>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</si>
  <si>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</si>
  <si>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</si>
  <si>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</si>
  <si>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</si>
  <si>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</si>
  <si>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</si>
  <si>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</si>
  <si>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</si>
  <si>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</si>
  <si>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</si>
  <si>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</si>
  <si>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</si>
  <si>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</si>
  <si>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</si>
  <si>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</si>
  <si>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</si>
  <si>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</si>
  <si>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</si>
  <si>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</si>
  <si>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</si>
  <si>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</si>
  <si>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</si>
  <si>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</si>
  <si>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</si>
  <si>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</si>
  <si>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</si>
  <si>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</si>
  <si>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</si>
  <si>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</si>
  <si>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</si>
  <si>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</si>
  <si>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</si>
  <si>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</si>
  <si>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</si>
  <si>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</si>
  <si>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</si>
  <si>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</si>
  <si>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</si>
  <si>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</si>
  <si>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</si>
  <si>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</si>
  <si>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</si>
  <si>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</si>
  <si>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</si>
  <si>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</si>
  <si>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</si>
  <si>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</si>
  <si>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</si>
  <si>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</si>
  <si>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</si>
  <si>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</si>
  <si>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</si>
  <si>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</si>
  <si>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</si>
  <si>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</si>
  <si>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</si>
  <si>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</si>
  <si>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</si>
  <si>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</si>
  <si>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</si>
  <si>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</si>
  <si>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</si>
  <si>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</si>
  <si>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</si>
  <si>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</si>
  <si>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</si>
  <si>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</si>
  <si>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</si>
  <si>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</si>
  <si>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</si>
  <si>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</si>
  <si>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</si>
  <si>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</si>
  <si>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</si>
  <si>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</si>
  <si>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</si>
  <si>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</si>
  <si>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</si>
  <si>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</si>
  <si>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</si>
  <si>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</si>
  <si>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</si>
  <si>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</si>
  <si>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</si>
  <si>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</si>
  <si>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</si>
  <si>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</si>
  <si>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</si>
  <si>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</si>
  <si>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</si>
  <si>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</si>
  <si>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</si>
  <si>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</si>
  <si>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</si>
  <si>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</si>
  <si>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</si>
  <si>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</si>
  <si>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</si>
  <si>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</si>
  <si>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</si>
  <si>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</si>
  <si>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</si>
  <si>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</si>
  <si>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</si>
  <si>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</si>
  <si>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</si>
  <si>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</si>
  <si>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</si>
  <si>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</si>
  <si>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</si>
  <si>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</si>
  <si>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</si>
  <si>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</si>
  <si>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</si>
  <si>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</si>
  <si>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</si>
  <si>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</si>
  <si>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</si>
  <si>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</si>
  <si>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</si>
  <si>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</si>
  <si>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</si>
  <si>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</si>
  <si>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</si>
  <si>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</si>
  <si>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</si>
  <si>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</si>
  <si>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</si>
  <si>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</si>
  <si>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</si>
  <si>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</si>
  <si>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</si>
  <si>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</si>
  <si>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</si>
  <si>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</si>
  <si>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</si>
  <si>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</si>
  <si>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</si>
  <si>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</si>
  <si>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</si>
  <si>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</si>
  <si>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</si>
  <si>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</si>
  <si>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</si>
  <si>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</si>
  <si>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</si>
  <si>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</si>
  <si>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</si>
  <si>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</si>
  <si>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</si>
  <si>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</si>
  <si>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</si>
  <si>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</si>
  <si>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</si>
  <si>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</si>
  <si>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</si>
  <si>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</si>
  <si>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</si>
  <si>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</si>
  <si>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</si>
  <si>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</si>
  <si>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</si>
  <si>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</si>
  <si>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</si>
  <si>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</si>
  <si>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</si>
  <si>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</si>
  <si>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</si>
  <si>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</si>
  <si>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</si>
  <si>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</si>
  <si>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</si>
  <si>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</si>
  <si>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</si>
  <si>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</si>
  <si>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</si>
  <si>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</si>
  <si>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</si>
  <si>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</si>
  <si>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</si>
  <si>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</si>
  <si>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</si>
  <si>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</si>
  <si>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</si>
  <si>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</si>
  <si>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</si>
  <si>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</si>
  <si>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</si>
  <si>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</si>
  <si>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</si>
  <si>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</si>
  <si>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</si>
  <si>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</si>
  <si>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</si>
  <si>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</si>
  <si>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</si>
  <si>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</si>
  <si>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</si>
  <si>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</si>
  <si>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</si>
  <si>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</si>
  <si>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</si>
  <si>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</si>
  <si>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</si>
  <si>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</si>
  <si>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</si>
  <si>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</si>
  <si>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</si>
  <si>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</si>
  <si>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</si>
  <si>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</si>
  <si>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</si>
  <si>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</si>
  <si>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</si>
  <si>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</si>
  <si>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</si>
  <si>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</si>
  <si>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</si>
  <si>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</si>
  <si>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</si>
  <si>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</si>
  <si>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</si>
  <si>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</si>
  <si>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</si>
  <si>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</si>
  <si>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</si>
  <si>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</si>
  <si>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</si>
  <si>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</si>
  <si>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</si>
  <si>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</si>
  <si>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</si>
  <si>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</si>
  <si>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</si>
  <si>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</si>
  <si>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</si>
  <si>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</si>
  <si>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</si>
  <si>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</si>
  <si>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</si>
  <si>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</si>
  <si>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</si>
  <si>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</si>
  <si>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</si>
  <si>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</si>
  <si>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</si>
  <si>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</si>
  <si>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</si>
  <si>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</si>
  <si>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</si>
  <si>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</si>
  <si>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</si>
  <si>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</si>
  <si>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</si>
  <si>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</si>
  <si>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</si>
  <si>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</si>
  <si>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</si>
  <si>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</si>
  <si>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</si>
  <si>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</si>
  <si>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</si>
  <si>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</si>
  <si>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</si>
  <si>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</si>
  <si>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</si>
  <si>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</si>
  <si>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</si>
  <si>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</si>
  <si>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</si>
  <si>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</si>
  <si>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</si>
  <si>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</si>
  <si>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</si>
  <si>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</si>
  <si>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</si>
  <si>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</si>
  <si>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</si>
  <si>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</si>
  <si>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</si>
  <si>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</si>
  <si>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</si>
  <si>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</si>
  <si>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</si>
  <si>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</si>
  <si>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</si>
  <si>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</si>
  <si>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</si>
  <si>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</si>
  <si>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</si>
  <si>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</si>
  <si>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</si>
  <si>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</si>
  <si>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</si>
  <si>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</si>
  <si>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</si>
  <si>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</si>
  <si>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</si>
  <si>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</si>
  <si>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</si>
  <si>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</si>
  <si>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</si>
  <si>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</si>
  <si>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</si>
  <si>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</si>
  <si>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</si>
  <si>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</si>
  <si>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</si>
  <si>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</si>
  <si>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</si>
  <si>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</si>
  <si>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</si>
  <si>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</si>
  <si>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</si>
  <si>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</si>
  <si>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</si>
  <si>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</si>
  <si>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</si>
  <si>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</si>
  <si>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</si>
  <si>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</si>
  <si>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</si>
  <si>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</si>
  <si>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</si>
  <si>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</si>
  <si>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</si>
  <si>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</si>
  <si>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</si>
  <si>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</si>
  <si>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</si>
  <si>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</si>
  <si>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</si>
  <si>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</si>
  <si>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</si>
  <si>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</si>
  <si>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</si>
  <si>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</si>
  <si>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</si>
  <si>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</si>
  <si>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</si>
  <si>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</si>
  <si>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</si>
  <si>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</si>
  <si>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</si>
  <si>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</si>
  <si>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</si>
  <si>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</si>
  <si>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</si>
  <si>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</si>
  <si>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</si>
  <si>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</si>
  <si>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</si>
  <si>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</si>
  <si>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</si>
  <si>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</si>
  <si>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</si>
  <si>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</si>
  <si>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</si>
  <si>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</si>
  <si>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</si>
  <si>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</si>
  <si>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</si>
  <si>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</si>
  <si>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</si>
  <si>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</si>
  <si>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</si>
  <si>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</si>
  <si>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</si>
  <si>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</si>
  <si>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</si>
  <si>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</si>
  <si>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</si>
  <si>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</si>
  <si>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</si>
  <si>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</si>
  <si>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</si>
  <si>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</si>
  <si>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</si>
  <si>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</si>
  <si>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</si>
  <si>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</si>
  <si>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</si>
  <si>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</si>
  <si>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</si>
  <si>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</si>
  <si>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</si>
  <si>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</si>
  <si>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</si>
  <si>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</si>
  <si>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</si>
  <si>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</si>
  <si>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</si>
  <si>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</si>
  <si>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</si>
  <si>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</si>
  <si>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</si>
  <si>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</si>
  <si>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</si>
  <si>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</si>
  <si>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</si>
  <si>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</si>
  <si>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</si>
  <si>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</si>
  <si>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</si>
  <si>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</si>
  <si>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</si>
  <si>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</si>
  <si>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</si>
  <si>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</si>
  <si>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</si>
  <si>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</si>
  <si>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</si>
  <si>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</si>
  <si>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</si>
  <si>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</si>
  <si>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</si>
  <si>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</si>
  <si>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</si>
  <si>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</si>
  <si>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</si>
  <si>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</si>
  <si>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</si>
  <si>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</si>
  <si>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</si>
  <si>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</si>
  <si>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</si>
  <si>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</si>
  <si>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</si>
  <si>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</si>
  <si>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</si>
  <si>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</si>
  <si>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</si>
  <si>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</si>
  <si>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</si>
  <si>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</si>
  <si>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</si>
  <si>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</si>
  <si>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</si>
  <si>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</si>
  <si>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</si>
  <si>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</si>
  <si>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</si>
  <si>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</si>
  <si>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</si>
  <si>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</si>
  <si>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</si>
  <si>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</si>
  <si>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</si>
  <si>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</si>
  <si>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</si>
  <si>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</si>
  <si>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</si>
  <si>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</si>
  <si>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</si>
  <si>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</si>
  <si>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</si>
  <si>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</si>
  <si>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</si>
  <si>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</si>
  <si>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</si>
  <si>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</si>
  <si>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</si>
  <si>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</si>
  <si>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</si>
  <si>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</si>
  <si>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</si>
  <si>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</si>
  <si>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</si>
  <si>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</si>
  <si>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</si>
  <si>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</si>
  <si>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</si>
  <si>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</si>
  <si>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</si>
  <si>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</si>
  <si>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</si>
  <si>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</si>
  <si>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</si>
  <si>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</si>
  <si>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</si>
  <si>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</si>
  <si>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</si>
  <si>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</si>
  <si>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</si>
  <si>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</si>
  <si>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</si>
  <si>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</si>
  <si>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</si>
  <si>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</si>
  <si>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</si>
  <si>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</si>
  <si>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</si>
  <si>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</si>
  <si>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</si>
  <si>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</si>
  <si>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</si>
  <si>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</si>
  <si>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</si>
  <si>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</si>
  <si>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</si>
  <si>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</si>
  <si>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</si>
  <si>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</si>
  <si>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</si>
  <si>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</si>
  <si>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</si>
  <si>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</si>
  <si>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</si>
  <si>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</si>
  <si>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</si>
  <si>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</si>
  <si>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</si>
  <si>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</si>
  <si>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</si>
  <si>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</si>
  <si>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</si>
  <si>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</si>
  <si>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</si>
  <si>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</si>
  <si>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</si>
  <si>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</si>
  <si>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</si>
  <si>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</si>
  <si>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</si>
  <si>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</si>
  <si>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</si>
  <si>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</si>
  <si>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</si>
  <si>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</si>
  <si>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</si>
  <si>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</si>
  <si>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</si>
  <si>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</si>
  <si>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</si>
  <si>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</si>
  <si>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</si>
  <si>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</si>
  <si>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</si>
  <si>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</si>
  <si>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</si>
  <si>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</si>
  <si>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</si>
  <si>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</si>
  <si>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</si>
  <si>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</si>
  <si>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</si>
  <si>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</si>
  <si>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</si>
  <si>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</si>
  <si>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</si>
  <si>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</si>
  <si>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</si>
  <si>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</si>
  <si>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</si>
  <si>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</si>
  <si>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</si>
  <si>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</si>
  <si>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</si>
  <si>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</si>
  <si>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</si>
  <si>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</si>
  <si>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</si>
  <si>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</si>
  <si>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</si>
  <si>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</si>
  <si>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</si>
  <si>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</si>
  <si>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</si>
  <si>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</si>
  <si>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</si>
  <si>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</si>
  <si>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</si>
  <si>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</si>
  <si>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</si>
  <si>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</si>
  <si>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</si>
  <si>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</si>
  <si>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</si>
  <si>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</si>
  <si>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</si>
  <si>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</si>
  <si>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</si>
  <si>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</si>
  <si>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</si>
  <si>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</si>
  <si>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</si>
  <si>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</si>
  <si>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</si>
  <si>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</si>
  <si>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</si>
  <si>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</si>
  <si>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</si>
  <si>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</si>
  <si>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</si>
  <si>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</si>
  <si>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</si>
  <si>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</si>
  <si>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</si>
  <si>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</si>
  <si>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</si>
  <si>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</si>
  <si>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</si>
  <si>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</si>
  <si>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</si>
  <si>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</si>
  <si>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</si>
  <si>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</si>
  <si>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</si>
  <si>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</si>
  <si>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</si>
  <si>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</si>
  <si>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</si>
  <si>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</si>
  <si>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</si>
  <si>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</si>
  <si>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</si>
  <si>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</si>
  <si>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</si>
  <si>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</si>
  <si>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</si>
  <si>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</si>
  <si>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</si>
  <si>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</si>
  <si>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</si>
  <si>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</si>
  <si>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</si>
  <si>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</si>
  <si>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</si>
  <si>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</si>
  <si>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</si>
  <si>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</si>
  <si>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</si>
  <si>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</si>
  <si>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</si>
  <si>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</si>
  <si>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</si>
  <si>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</si>
  <si>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</si>
  <si>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</si>
  <si>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</si>
  <si>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</si>
  <si>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</si>
  <si>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</si>
  <si>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</si>
  <si>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</si>
  <si>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</si>
  <si>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</si>
  <si>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</si>
  <si>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</si>
  <si>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</si>
  <si>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</si>
  <si>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</si>
  <si>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</si>
  <si>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</si>
  <si>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</si>
  <si>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</si>
  <si>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</si>
  <si>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</si>
  <si>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</si>
  <si>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</si>
  <si>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</si>
  <si>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</si>
  <si>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</si>
  <si>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</si>
  <si>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</si>
  <si>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</si>
  <si>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</si>
  <si>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</si>
  <si>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</si>
  <si>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</si>
  <si>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</si>
  <si>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</si>
  <si>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</si>
  <si>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</si>
  <si>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</si>
  <si>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</si>
  <si>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</si>
  <si>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</si>
  <si>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</si>
  <si>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</si>
  <si>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</si>
  <si>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</si>
  <si>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</si>
  <si>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</si>
  <si>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</si>
  <si>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</si>
  <si>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</si>
  <si>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</si>
  <si>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</si>
  <si>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</si>
  <si>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</si>
  <si>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</si>
  <si>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</si>
  <si>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</si>
  <si>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</si>
  <si>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</si>
  <si>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</si>
  <si>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</si>
  <si>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</si>
  <si>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</si>
  <si>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</si>
  <si>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</si>
  <si>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</si>
  <si>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</si>
  <si>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</si>
  <si>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</si>
  <si>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</si>
  <si>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</si>
  <si>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</si>
  <si>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</si>
  <si>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</si>
  <si>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</si>
  <si>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</si>
  <si>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</si>
  <si>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</si>
  <si>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</si>
  <si>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</si>
  <si>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</si>
  <si>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</si>
  <si>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</si>
  <si>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</si>
  <si>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</si>
  <si>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</si>
  <si>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</si>
  <si>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</si>
  <si>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</si>
  <si>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</si>
  <si>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</si>
  <si>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</si>
  <si>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</si>
  <si>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</si>
  <si>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</si>
  <si>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</si>
  <si>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</si>
  <si>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</si>
  <si>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</si>
  <si>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</si>
  <si>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</si>
  <si>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</si>
  <si>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</si>
  <si>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</si>
  <si>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</si>
  <si>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</si>
  <si>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</si>
  <si>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</si>
  <si>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</si>
  <si>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</si>
  <si>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</si>
  <si>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</si>
  <si>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</si>
  <si>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</si>
  <si>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</si>
  <si>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</si>
  <si>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</si>
  <si>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</si>
  <si>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</si>
  <si>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</si>
  <si>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</si>
  <si>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</si>
  <si>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</si>
  <si>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</si>
  <si>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</si>
  <si>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</si>
  <si>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</si>
  <si>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</si>
  <si>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</si>
  <si>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</si>
  <si>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</si>
  <si>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</si>
  <si>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</si>
  <si>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</si>
  <si>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</si>
  <si>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</si>
  <si>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</si>
  <si>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</si>
  <si>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</si>
  <si>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</si>
  <si>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</si>
  <si>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</si>
  <si>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</si>
  <si>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</si>
  <si>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</si>
  <si>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</si>
  <si>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</si>
  <si>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</si>
  <si>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</si>
  <si>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</si>
  <si>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</si>
  <si>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</si>
  <si>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</si>
  <si>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</si>
  <si>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</si>
  <si>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</si>
  <si>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</si>
  <si>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</si>
  <si>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</si>
  <si>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</si>
  <si>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</si>
  <si>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</si>
  <si>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</si>
  <si>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</si>
  <si>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</si>
  <si>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</si>
  <si>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</si>
  <si>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</si>
  <si>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</si>
  <si>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</si>
  <si>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</si>
  <si>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</si>
  <si>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</si>
  <si>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</si>
  <si>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</si>
  <si>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</si>
  <si>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</si>
  <si>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</si>
  <si>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</si>
  <si>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</si>
  <si>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</si>
  <si>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</si>
  <si>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</si>
  <si>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</si>
  <si>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</si>
  <si>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</si>
  <si>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</si>
  <si>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</si>
  <si>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</si>
  <si>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</si>
  <si>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</si>
  <si>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</si>
  <si>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</si>
  <si>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</si>
  <si>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</si>
  <si>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</si>
  <si>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</si>
  <si>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</si>
  <si>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</si>
  <si>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</si>
  <si>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</si>
  <si>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</si>
  <si>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</si>
  <si>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</si>
  <si>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</si>
  <si>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</si>
  <si>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</si>
  <si>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</si>
  <si>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</si>
  <si>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</si>
  <si>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</si>
  <si>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</si>
  <si>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</si>
  <si>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</si>
  <si>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</si>
  <si>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</si>
  <si>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</si>
  <si>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</si>
  <si>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</si>
  <si>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</si>
  <si>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</si>
  <si>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</si>
  <si>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</si>
  <si>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</si>
  <si>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</si>
  <si>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</si>
  <si>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</si>
  <si>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</si>
  <si>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</si>
  <si>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</si>
  <si>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</si>
  <si>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</si>
  <si>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</si>
  <si>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</si>
  <si>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</si>
  <si>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</si>
  <si>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</si>
  <si>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</si>
  <si>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</si>
  <si>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</si>
  <si>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</si>
  <si>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</si>
  <si>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</si>
  <si>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</si>
  <si>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</si>
  <si>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</si>
  <si>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</si>
  <si>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</si>
  <si>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</si>
  <si>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</si>
  <si>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</si>
  <si>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</si>
  <si>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</si>
  <si>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</si>
  <si>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</si>
  <si>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</si>
  <si>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</si>
  <si>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</si>
  <si>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</si>
  <si>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</si>
  <si>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</si>
  <si>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</si>
  <si>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</si>
  <si>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</si>
  <si>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</si>
  <si>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</si>
  <si>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</si>
  <si>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</si>
  <si>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</si>
  <si>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</si>
  <si>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</si>
  <si>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</si>
  <si>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</si>
  <si>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</si>
  <si>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</si>
  <si>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</si>
  <si>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</si>
  <si>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</si>
  <si>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</si>
  <si>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</si>
  <si>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</si>
  <si>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</si>
  <si>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</si>
  <si>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</si>
  <si>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</si>
  <si>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</si>
  <si>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</si>
  <si>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</si>
  <si>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</si>
  <si>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</si>
  <si>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</si>
  <si>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</si>
  <si>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</si>
  <si>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</si>
  <si>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</si>
  <si>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</si>
  <si>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</si>
  <si>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</si>
  <si>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</si>
  <si>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</si>
  <si>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</si>
  <si>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</si>
  <si>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</si>
  <si>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</si>
  <si>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</si>
  <si>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</si>
  <si>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</si>
  <si>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</si>
  <si>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</si>
  <si>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</si>
  <si>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</si>
  <si>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</si>
  <si>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</si>
  <si>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</si>
  <si>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</si>
  <si>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</si>
  <si>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</si>
  <si>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</si>
  <si>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</si>
  <si>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</si>
  <si>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</si>
  <si>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</si>
  <si>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</si>
  <si>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</si>
  <si>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</si>
  <si>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</si>
  <si>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</si>
  <si>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</si>
  <si>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</si>
  <si>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</si>
  <si>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</si>
  <si>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</si>
  <si>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</si>
  <si>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</si>
  <si>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</si>
  <si>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</si>
  <si>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</si>
  <si>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</si>
  <si>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</si>
  <si>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</si>
  <si>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</si>
  <si>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</si>
  <si>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</si>
  <si>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</si>
  <si>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</si>
  <si>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</si>
  <si>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</si>
  <si>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</si>
  <si>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</si>
  <si>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</si>
  <si>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</si>
  <si>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</si>
  <si>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</si>
  <si>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</si>
  <si>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</si>
  <si>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</si>
  <si>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</si>
  <si>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</si>
  <si>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</si>
  <si>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</si>
  <si>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</si>
  <si>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</si>
  <si>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</si>
  <si>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</si>
  <si>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</si>
  <si>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</si>
  <si>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</si>
  <si>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</si>
  <si>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</si>
  <si>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</si>
  <si>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</si>
  <si>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</si>
  <si>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</si>
  <si>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</si>
  <si>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</si>
  <si>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</si>
  <si>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</si>
  <si>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</si>
  <si>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</si>
  <si>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</si>
  <si>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</si>
  <si>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</si>
  <si>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</si>
  <si>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</si>
  <si>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</si>
  <si>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</si>
  <si>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</si>
  <si>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</si>
  <si>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</si>
  <si>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</si>
  <si>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</si>
  <si>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</si>
  <si>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</si>
  <si>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</si>
  <si>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</si>
  <si>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</si>
  <si>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</si>
  <si>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</si>
  <si>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</si>
  <si>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</si>
  <si>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</si>
  <si>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</si>
  <si>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</si>
  <si>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</si>
  <si>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</si>
  <si>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</si>
  <si>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</si>
  <si>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</si>
  <si>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</si>
  <si>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</si>
  <si>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</si>
  <si>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</si>
  <si>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</si>
  <si>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</si>
  <si>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</si>
  <si>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</si>
  <si>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</si>
  <si>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</si>
  <si>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</si>
  <si>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</si>
  <si>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</si>
  <si>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</si>
  <si>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</si>
  <si>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</si>
  <si>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</si>
  <si>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</si>
  <si>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</si>
  <si>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</si>
  <si>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</si>
  <si>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</si>
  <si>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</si>
  <si>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</si>
  <si>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</si>
  <si>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</si>
  <si>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</si>
  <si>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</si>
  <si>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</si>
  <si>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</si>
  <si>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</si>
  <si>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</si>
  <si>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</si>
  <si>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</si>
  <si>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</si>
  <si>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</si>
  <si>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</si>
  <si>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</si>
  <si>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</si>
  <si>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</si>
  <si>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</si>
  <si>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</si>
  <si>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</si>
  <si>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</si>
  <si>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</si>
  <si>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</si>
  <si>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</si>
  <si>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</si>
  <si>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</si>
  <si>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</si>
  <si>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</si>
  <si>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</si>
  <si>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</si>
  <si>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</si>
  <si>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</si>
  <si>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</si>
  <si>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</si>
  <si>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</si>
  <si>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</si>
  <si>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</si>
  <si>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</si>
  <si>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</si>
  <si>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</si>
  <si>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</si>
  <si>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</si>
  <si>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</si>
  <si>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</si>
  <si>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</si>
  <si>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</si>
  <si>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</si>
  <si>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</si>
  <si>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</si>
  <si>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</si>
  <si>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</si>
  <si>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</si>
  <si>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</si>
  <si>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</si>
  <si>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</si>
  <si>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</si>
  <si>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</si>
  <si>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</si>
  <si>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</si>
  <si>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</si>
  <si>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</si>
  <si>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</si>
  <si>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</si>
  <si>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</si>
  <si>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</si>
  <si>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</si>
  <si>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</si>
  <si>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</si>
  <si>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</si>
  <si>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</si>
  <si>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</si>
  <si>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</si>
  <si>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</si>
  <si>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</si>
  <si>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</si>
  <si>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</si>
  <si>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</si>
  <si>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</si>
  <si>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</si>
  <si>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</si>
  <si>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</si>
  <si>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</si>
  <si>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</si>
  <si>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</si>
  <si>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</si>
  <si>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</si>
  <si>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</si>
  <si>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</si>
  <si>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</si>
  <si>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</si>
  <si>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</si>
  <si>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</si>
  <si>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</si>
  <si>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</si>
  <si>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</si>
  <si>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</si>
  <si>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</si>
  <si>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</si>
  <si>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</si>
  <si>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</si>
  <si>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</si>
  <si>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</si>
  <si>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</si>
  <si>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</si>
  <si>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</si>
  <si>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</si>
  <si>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</si>
  <si>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</si>
  <si>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</si>
  <si>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</si>
  <si>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</si>
  <si>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</si>
  <si>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</si>
  <si>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</si>
  <si>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</si>
  <si>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</si>
  <si>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</si>
  <si>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</si>
  <si>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</si>
  <si>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</si>
  <si>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</si>
  <si>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</si>
  <si>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</si>
  <si>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</si>
  <si>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</si>
  <si>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</si>
  <si>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</si>
  <si>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</si>
  <si>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</si>
  <si>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</si>
  <si>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</si>
  <si>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</si>
  <si>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</si>
  <si>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</si>
  <si>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</si>
  <si>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</si>
  <si>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</si>
  <si>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</si>
  <si>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</si>
  <si>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</si>
  <si>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</si>
  <si>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</si>
  <si>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</si>
  <si>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</si>
  <si>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</si>
  <si>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</si>
  <si>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</si>
  <si>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</si>
  <si>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</si>
  <si>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</si>
  <si>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</si>
  <si>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</si>
  <si>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</si>
  <si>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</si>
  <si>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</si>
  <si>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</si>
  <si>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</si>
  <si>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</si>
  <si>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</si>
  <si>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</si>
  <si>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</si>
  <si>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</si>
  <si>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</si>
  <si>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</si>
  <si>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</si>
  <si>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</si>
  <si>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</si>
  <si>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</si>
  <si>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</si>
  <si>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</si>
  <si>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</si>
  <si>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</si>
  <si>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</si>
  <si>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</si>
  <si>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</si>
  <si>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</si>
  <si>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</si>
  <si>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</si>
  <si>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</si>
  <si>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</si>
  <si>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</si>
  <si>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</si>
  <si>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</si>
  <si>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</si>
  <si>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</si>
  <si>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</si>
  <si>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</si>
  <si>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</si>
  <si>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</si>
  <si>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</si>
  <si>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</si>
  <si>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</si>
  <si>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</si>
  <si>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</si>
  <si>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</si>
  <si>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</si>
  <si>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</si>
  <si>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</si>
  <si>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</si>
  <si>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</si>
  <si>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</si>
  <si>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</si>
  <si>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</si>
  <si>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</si>
  <si>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</si>
  <si>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</si>
  <si>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</si>
  <si>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</si>
  <si>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</si>
  <si>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</si>
  <si>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</si>
  <si>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</si>
  <si>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</si>
  <si>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</si>
  <si>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</si>
  <si>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</si>
  <si>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</si>
  <si>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</si>
  <si>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</si>
  <si>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</si>
  <si>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</si>
  <si>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</si>
  <si>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</si>
  <si>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</si>
  <si>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</si>
  <si>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</si>
  <si>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</si>
  <si>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</si>
  <si>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</si>
  <si>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</si>
  <si>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</si>
  <si>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</si>
  <si>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</si>
  <si>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</si>
  <si>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</si>
  <si>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</si>
  <si>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</si>
  <si>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</si>
  <si>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</si>
  <si>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</si>
  <si>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</si>
  <si>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</si>
  <si>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</si>
  <si>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</si>
  <si>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</si>
  <si>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</si>
  <si>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</si>
  <si>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</si>
  <si>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</si>
  <si>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</si>
  <si>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</si>
  <si>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</si>
  <si>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</si>
  <si>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</si>
  <si>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</si>
  <si>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</si>
  <si>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</si>
  <si>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</si>
  <si>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</si>
  <si>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</si>
  <si>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</si>
  <si>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</si>
  <si>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</si>
  <si>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</si>
  <si>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</si>
  <si>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</si>
  <si>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</si>
  <si>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</si>
  <si>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</si>
  <si>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</si>
  <si>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</si>
  <si>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</si>
  <si>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</si>
  <si>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</si>
  <si>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</si>
  <si>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</si>
  <si>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</si>
  <si>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</si>
  <si>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</si>
  <si>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</si>
  <si>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</si>
  <si>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</si>
  <si>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</si>
  <si>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</si>
  <si>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</si>
  <si>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</si>
  <si>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</si>
  <si>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</si>
  <si>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</si>
  <si>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</si>
  <si>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</si>
  <si>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</si>
  <si>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</si>
  <si>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</si>
  <si>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</si>
  <si>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</si>
  <si>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</si>
  <si>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</si>
  <si>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</si>
  <si>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</si>
  <si>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</si>
  <si>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</si>
  <si>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</si>
  <si>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</si>
  <si>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</si>
  <si>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</si>
  <si>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</si>
  <si>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</si>
  <si>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</si>
  <si>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</si>
  <si>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</si>
  <si>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</si>
  <si>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</si>
  <si>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</si>
  <si>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</si>
  <si>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</si>
  <si>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</si>
  <si>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</si>
  <si>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</si>
  <si>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</si>
  <si>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</si>
  <si>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</si>
  <si>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</si>
  <si>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</si>
  <si>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</si>
  <si>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</si>
  <si>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</si>
  <si>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</si>
  <si>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</si>
  <si>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</si>
  <si>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</si>
  <si>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</si>
  <si>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</si>
  <si>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</si>
  <si>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</si>
  <si>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</si>
  <si>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</si>
  <si>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</si>
  <si>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</si>
  <si>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</si>
  <si>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</si>
  <si>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</si>
  <si>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</si>
  <si>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</si>
  <si>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</si>
  <si>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</si>
  <si>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</si>
  <si>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</si>
  <si>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</si>
  <si>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</si>
  <si>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</si>
  <si>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</si>
  <si>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</si>
  <si>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</si>
  <si>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</si>
  <si>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</si>
  <si>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</si>
  <si>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</si>
  <si>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</si>
  <si>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</si>
  <si>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</si>
  <si>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</si>
  <si>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</si>
  <si>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</si>
  <si>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</si>
  <si>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</si>
  <si>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</si>
  <si>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</si>
  <si>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</si>
  <si>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</si>
  <si>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</si>
  <si>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</si>
  <si>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</si>
  <si>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</si>
  <si>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</si>
  <si>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</si>
  <si>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</si>
  <si>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</si>
  <si>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</si>
  <si>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</si>
  <si>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</si>
  <si>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</si>
  <si>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</si>
  <si>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</si>
  <si>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</si>
  <si>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</si>
  <si>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</si>
  <si>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</si>
  <si>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</si>
  <si>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</si>
  <si>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</si>
  <si>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</si>
  <si>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</si>
  <si>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</si>
  <si>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</si>
  <si>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</si>
  <si>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</si>
  <si>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</si>
  <si>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</si>
  <si>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</si>
  <si>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</si>
  <si>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</si>
  <si>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</si>
  <si>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</si>
  <si>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</si>
  <si>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</si>
  <si>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</si>
  <si>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</si>
  <si>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</si>
  <si>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</si>
  <si>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</si>
  <si>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</si>
  <si>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</si>
  <si>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</si>
  <si>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</si>
  <si>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</si>
  <si>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</si>
  <si>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</si>
  <si>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</si>
  <si>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</si>
  <si>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</si>
  <si>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</si>
  <si>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</si>
  <si>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</si>
  <si>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</si>
  <si>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</si>
  <si>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</si>
  <si>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</si>
  <si>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</si>
  <si>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</si>
  <si>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</si>
  <si>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</si>
  <si>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</si>
  <si>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</si>
  <si>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</si>
  <si>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</si>
  <si>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</si>
  <si>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</si>
  <si>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</si>
  <si>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</si>
  <si>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</si>
  <si>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</si>
  <si>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</si>
  <si>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</si>
  <si>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</si>
  <si>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</si>
  <si>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</si>
  <si>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</si>
  <si>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</si>
  <si>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</si>
  <si>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</si>
  <si>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</si>
  <si>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</si>
  <si>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</si>
  <si>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</si>
  <si>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</si>
  <si>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</si>
  <si>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</si>
  <si>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</si>
  <si>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</si>
  <si>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</si>
  <si>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</si>
  <si>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</si>
  <si>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</si>
  <si>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</si>
  <si>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</si>
  <si>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</si>
  <si>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</si>
  <si>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</si>
  <si>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</si>
  <si>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</si>
  <si>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</si>
  <si>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</si>
  <si>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</si>
  <si>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</si>
  <si>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</si>
  <si>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</si>
  <si>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</si>
  <si>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</si>
  <si>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</si>
  <si>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</si>
  <si>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</si>
  <si>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</si>
  <si>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</si>
  <si>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</si>
  <si>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</si>
  <si>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</si>
  <si>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</si>
  <si>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</si>
  <si>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</si>
  <si>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</si>
  <si>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</si>
  <si>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</si>
  <si>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</si>
  <si>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</si>
  <si>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</si>
  <si>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</si>
  <si>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</si>
  <si>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</si>
  <si>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</si>
  <si>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</si>
  <si>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</si>
  <si>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</si>
  <si>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</si>
  <si>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</si>
  <si>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</si>
  <si>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</si>
  <si>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</si>
  <si>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</si>
  <si>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</si>
  <si>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</si>
  <si>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</si>
  <si>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</si>
  <si>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</si>
  <si>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</si>
  <si>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</si>
  <si>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</si>
  <si>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</si>
  <si>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</si>
  <si>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</si>
  <si>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</si>
  <si>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</si>
  <si>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</si>
  <si>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</si>
  <si>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</si>
  <si>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</si>
  <si>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</si>
  <si>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</si>
  <si>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</si>
  <si>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</si>
  <si>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</si>
  <si>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</si>
  <si>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</si>
  <si>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</si>
  <si>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</si>
  <si>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</si>
  <si>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</si>
  <si>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</si>
  <si>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</si>
  <si>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</si>
  <si>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</si>
  <si>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</si>
  <si>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</si>
  <si>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</si>
  <si>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</si>
  <si>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</si>
  <si>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</si>
  <si>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</si>
  <si>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</si>
  <si>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</si>
  <si>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</si>
  <si>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</si>
  <si>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</si>
  <si>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</si>
  <si>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</si>
  <si>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</si>
  <si>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</si>
  <si>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</si>
  <si>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</si>
  <si>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</si>
  <si>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</si>
  <si>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</si>
  <si>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</si>
  <si>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</si>
  <si>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</si>
  <si>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</si>
  <si>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</si>
  <si>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</si>
  <si>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</si>
  <si>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</si>
  <si>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</si>
  <si>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</si>
  <si>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</si>
  <si>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</si>
  <si>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</si>
  <si>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</si>
  <si>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</si>
  <si>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</si>
  <si>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</si>
  <si>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</si>
  <si>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</si>
  <si>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</si>
  <si>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</si>
  <si>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</si>
  <si>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</si>
  <si>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</si>
  <si>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</si>
  <si>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</si>
  <si>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</si>
  <si>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</si>
  <si>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</si>
  <si>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</si>
  <si>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</si>
  <si>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</si>
  <si>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</si>
  <si>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</si>
  <si>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</si>
  <si>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</si>
  <si>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</si>
  <si>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</si>
  <si>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</si>
  <si>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</si>
  <si>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</si>
  <si>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</si>
  <si>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</si>
  <si>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</si>
  <si>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</si>
  <si>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</si>
  <si>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</si>
  <si>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</si>
  <si>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</si>
  <si>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</si>
  <si>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</si>
  <si>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</si>
  <si>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</si>
  <si>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</si>
  <si>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</si>
  <si>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</si>
  <si>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</si>
  <si>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</si>
  <si>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</si>
  <si>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</si>
  <si>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</si>
  <si>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</si>
  <si>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</si>
  <si>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</si>
  <si>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</si>
  <si>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</si>
  <si>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</si>
  <si>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</si>
  <si>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</si>
  <si>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</si>
  <si>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</si>
  <si>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</si>
  <si>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</si>
  <si>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</si>
  <si>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</si>
  <si>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</si>
  <si>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</si>
  <si>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</si>
  <si>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</si>
  <si>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</si>
  <si>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</si>
  <si>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</si>
  <si>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</si>
  <si>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</si>
  <si>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</si>
  <si>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</si>
  <si>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</si>
  <si>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</si>
  <si>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</si>
  <si>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</si>
  <si>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</si>
  <si>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</si>
  <si>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</si>
  <si>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</si>
  <si>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</si>
  <si>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</si>
  <si>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</si>
  <si>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</si>
  <si>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</si>
  <si>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</si>
  <si>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</si>
  <si>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</si>
  <si>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</si>
  <si>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</si>
  <si>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</si>
  <si>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</si>
  <si>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</si>
  <si>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</si>
  <si>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</si>
  <si>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</si>
  <si>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</si>
  <si>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</si>
  <si>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</si>
  <si>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</si>
  <si>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</si>
  <si>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</si>
  <si>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</si>
  <si>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</si>
  <si>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</si>
  <si>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</si>
  <si>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</si>
  <si>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</si>
  <si>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</si>
  <si>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</si>
  <si>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</si>
  <si>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</si>
  <si>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</si>
  <si>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</si>
  <si>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</si>
  <si>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</si>
  <si>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</si>
  <si>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</si>
  <si>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</si>
  <si>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</si>
  <si>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</si>
  <si>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</si>
  <si>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</si>
  <si>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</si>
  <si>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</si>
  <si>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</si>
  <si>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</si>
  <si>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</si>
  <si>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</si>
  <si>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</si>
  <si>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</si>
  <si>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</si>
  <si>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</si>
  <si>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</si>
  <si>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</si>
  <si>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</si>
  <si>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</si>
  <si>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</si>
  <si>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</si>
  <si>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</si>
  <si>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</si>
  <si>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</si>
  <si>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</si>
  <si>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</si>
  <si>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</si>
  <si>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</si>
  <si>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</si>
  <si>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</si>
  <si>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</si>
  <si>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</si>
  <si>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</si>
  <si>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</si>
  <si>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</si>
  <si>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</si>
  <si>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</si>
  <si>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</si>
  <si>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</si>
  <si>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</si>
  <si>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</si>
  <si>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</si>
  <si>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</si>
  <si>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</si>
  <si>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</si>
  <si>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</si>
  <si>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</si>
  <si>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</si>
  <si>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</si>
  <si>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</si>
  <si>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</si>
  <si>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</si>
  <si>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</si>
  <si>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</si>
  <si>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</si>
  <si>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</si>
  <si>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</si>
  <si>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</si>
  <si>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</si>
  <si>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</si>
  <si>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</si>
  <si>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</si>
  <si>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</si>
  <si>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</si>
  <si>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</si>
  <si>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</si>
  <si>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</si>
  <si>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</si>
  <si>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</si>
  <si>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</si>
  <si>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</si>
  <si>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</si>
  <si>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</si>
  <si>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</si>
  <si>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</si>
  <si>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</si>
  <si>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</si>
  <si>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</si>
  <si>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</si>
  <si>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</si>
  <si>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</si>
  <si>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</si>
  <si>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</si>
  <si>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</si>
  <si>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</si>
  <si>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</si>
  <si>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</si>
  <si>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</si>
  <si>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</si>
  <si>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</si>
  <si>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</si>
  <si>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</si>
  <si>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</si>
  <si>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</si>
  <si>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</si>
  <si>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</si>
  <si>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</si>
  <si>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</si>
  <si>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</si>
  <si>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</si>
  <si>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</si>
  <si>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</si>
  <si>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</si>
  <si>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</si>
  <si>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</si>
  <si>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</si>
  <si>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</si>
  <si>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</si>
  <si>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</si>
  <si>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</si>
  <si>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</si>
  <si>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</si>
  <si>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</si>
  <si>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</si>
  <si>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</si>
  <si>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</si>
  <si>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</si>
  <si>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</si>
  <si>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</si>
  <si>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</si>
  <si>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</si>
  <si>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</si>
  <si>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</si>
  <si>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</si>
  <si>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</si>
  <si>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</si>
  <si>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</si>
  <si>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</si>
  <si>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</si>
  <si>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</si>
  <si>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</si>
  <si>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</si>
  <si>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</si>
  <si>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</si>
  <si>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</si>
  <si>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</si>
  <si>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</si>
  <si>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</si>
  <si>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</si>
  <si>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</si>
  <si>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</si>
  <si>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</si>
  <si>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</si>
  <si>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</si>
  <si>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</si>
  <si>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</si>
  <si>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</si>
  <si>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</si>
  <si>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</si>
  <si>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</si>
  <si>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</si>
  <si>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</si>
  <si>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</si>
  <si>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</si>
  <si>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</si>
  <si>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</si>
  <si>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</si>
  <si>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</si>
  <si>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</si>
  <si>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</si>
  <si>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</si>
  <si>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</si>
  <si>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</si>
  <si>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</si>
  <si>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</si>
  <si>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</si>
  <si>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</si>
  <si>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</si>
  <si>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</si>
  <si>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</si>
  <si>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</si>
  <si>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</si>
  <si>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</si>
  <si>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</si>
  <si>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</si>
  <si>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</si>
  <si>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</si>
  <si>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</si>
  <si>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</si>
  <si>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</si>
  <si>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</si>
  <si>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</si>
  <si>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</si>
  <si>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</si>
  <si>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</si>
  <si>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</si>
  <si>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</si>
  <si>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</si>
  <si>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</si>
  <si>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</si>
  <si>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</si>
  <si>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</si>
  <si>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</si>
  <si>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</si>
  <si>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</si>
  <si>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</si>
  <si>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</si>
  <si>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</si>
  <si>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</si>
  <si>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</si>
  <si>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</si>
  <si>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</si>
  <si>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</si>
  <si>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</si>
  <si>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</si>
  <si>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</si>
  <si>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</si>
  <si>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</si>
  <si>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</si>
  <si>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</si>
  <si>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</si>
  <si>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</si>
  <si>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</si>
  <si>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</si>
  <si>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</si>
  <si>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</si>
  <si>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</si>
  <si>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</si>
  <si>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</si>
  <si>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</si>
  <si>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</si>
  <si>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</si>
  <si>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</si>
  <si>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</si>
  <si>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</si>
  <si>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</si>
  <si>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</si>
  <si>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</si>
  <si>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</si>
  <si>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</si>
  <si>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</si>
  <si>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</si>
  <si>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</si>
  <si>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</si>
  <si>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</si>
  <si>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</si>
  <si>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</si>
  <si>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</si>
  <si>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</si>
  <si>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</si>
  <si>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</si>
  <si>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</si>
  <si>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</si>
  <si>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</si>
  <si>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</si>
  <si>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</si>
  <si>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</si>
  <si>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</si>
  <si>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</si>
  <si>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</si>
  <si>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</si>
  <si>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</si>
  <si>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</si>
  <si>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</si>
  <si>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</si>
  <si>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</si>
  <si>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</si>
  <si>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</si>
  <si>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</si>
  <si>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</si>
  <si>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</si>
  <si>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</si>
  <si>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</si>
  <si>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</si>
  <si>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</si>
  <si>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</si>
  <si>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</si>
  <si>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</si>
  <si>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</si>
  <si>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</si>
  <si>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</si>
  <si>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</si>
  <si>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</si>
  <si>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</si>
  <si>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</si>
  <si>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</si>
  <si>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</si>
  <si>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</si>
  <si>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</si>
  <si>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</si>
  <si>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</si>
  <si>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</si>
  <si>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</si>
  <si>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</si>
  <si>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</si>
  <si>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</si>
  <si>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</si>
  <si>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</si>
  <si>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</si>
  <si>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</si>
  <si>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</si>
  <si>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</si>
  <si>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</si>
  <si>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</si>
  <si>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</si>
  <si>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</si>
  <si>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</si>
  <si>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</si>
  <si>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</si>
  <si>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</si>
  <si>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</si>
  <si>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</si>
  <si>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</si>
  <si>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</si>
  <si>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</si>
  <si>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</si>
  <si>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</si>
  <si>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</si>
  <si>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</si>
  <si>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</si>
  <si>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</si>
  <si>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</si>
  <si>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</si>
  <si>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</si>
  <si>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</si>
  <si>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</si>
  <si>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</si>
  <si>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</si>
  <si>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</si>
  <si>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</si>
  <si>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</si>
  <si>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</si>
  <si>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</si>
  <si>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</si>
  <si>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</si>
  <si>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</si>
  <si>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</si>
  <si>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</si>
  <si>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</si>
  <si>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</si>
  <si>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</si>
  <si>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</si>
  <si>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</si>
  <si>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</si>
  <si>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</si>
  <si>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</si>
  <si>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</si>
  <si>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</si>
  <si>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</si>
  <si>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</si>
  <si>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</si>
  <si>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</si>
  <si>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</si>
  <si>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</si>
  <si>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</si>
  <si>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</si>
  <si>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</si>
  <si>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</si>
  <si>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</si>
  <si>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</si>
  <si>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</si>
  <si>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</si>
  <si>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</si>
  <si>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</si>
  <si>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</si>
  <si>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</si>
  <si>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</si>
  <si>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</si>
  <si>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</si>
  <si>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</si>
  <si>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</si>
  <si>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</si>
  <si>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</si>
  <si>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</si>
  <si>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</si>
  <si>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</si>
  <si>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</si>
  <si>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</si>
  <si>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</si>
  <si>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</si>
  <si>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</si>
  <si>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</si>
  <si>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</si>
  <si>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</si>
  <si>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</si>
  <si>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</si>
  <si>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</si>
  <si>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</si>
  <si>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</si>
  <si>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</si>
  <si>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</si>
  <si>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</si>
  <si>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</si>
  <si>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</si>
  <si>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</si>
  <si>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</si>
  <si>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</si>
  <si>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</si>
  <si>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</si>
  <si>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</si>
  <si>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</si>
  <si>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</si>
  <si>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</si>
  <si>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</si>
  <si>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</si>
  <si>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</si>
  <si>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</si>
  <si>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</si>
  <si>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</si>
  <si>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</si>
  <si>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</si>
  <si>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</si>
  <si>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</si>
  <si>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</si>
  <si>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</si>
  <si>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</si>
  <si>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</si>
  <si>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</si>
  <si>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</si>
  <si>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</si>
  <si>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</si>
  <si>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</si>
  <si>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</si>
  <si>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</si>
  <si>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</si>
  <si>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</si>
  <si>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</si>
  <si>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</si>
  <si>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</si>
  <si>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</si>
  <si>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</si>
  <si>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</si>
  <si>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</si>
  <si>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</si>
  <si>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</si>
  <si>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</si>
  <si>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</si>
  <si>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</si>
  <si>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</si>
  <si>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</si>
  <si>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</si>
  <si>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</si>
  <si>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</si>
  <si>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</si>
  <si>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</si>
  <si>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</si>
  <si>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</si>
  <si>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</si>
  <si>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</si>
  <si>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</si>
  <si>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</si>
  <si>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</si>
  <si>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</si>
  <si>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</si>
  <si>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</si>
  <si>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</si>
  <si>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</si>
  <si>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</si>
  <si>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</si>
  <si>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</si>
  <si>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</si>
  <si>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</si>
  <si>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</si>
  <si>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</si>
  <si>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</si>
  <si>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</si>
  <si>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</si>
  <si>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</si>
  <si>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</si>
  <si>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</si>
  <si>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</si>
  <si>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</si>
  <si>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</si>
  <si>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</si>
  <si>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</si>
  <si>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</si>
  <si>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</si>
  <si>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</si>
  <si>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</si>
  <si>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</si>
  <si>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</si>
  <si>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</si>
  <si>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</si>
  <si>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</si>
  <si>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</si>
  <si>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</si>
  <si>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</si>
  <si>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</si>
  <si>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</si>
  <si>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</si>
  <si>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</si>
  <si>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</si>
  <si>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</si>
  <si>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</si>
  <si>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</si>
  <si>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</si>
  <si>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</si>
  <si>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</si>
  <si>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</si>
  <si>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</si>
  <si>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</si>
  <si>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</si>
  <si>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</si>
  <si>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</si>
  <si>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</si>
  <si>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</si>
  <si>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</si>
  <si>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</si>
  <si>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</si>
  <si>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</si>
  <si>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</si>
  <si>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</si>
  <si>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</si>
  <si>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</si>
  <si>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</si>
  <si>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</si>
  <si>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</si>
  <si>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</si>
  <si>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</si>
  <si>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</si>
  <si>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</si>
  <si>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</si>
  <si>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</si>
  <si>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</si>
  <si>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</si>
  <si>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</si>
  <si>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</si>
  <si>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</si>
  <si>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</si>
  <si>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</si>
  <si>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</si>
  <si>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</si>
  <si>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</si>
  <si>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</si>
  <si>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</si>
  <si>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</si>
  <si>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</si>
  <si>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</si>
  <si>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</si>
  <si>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</si>
  <si>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</si>
  <si>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</si>
  <si>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</si>
  <si>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</si>
  <si>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</si>
  <si>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</si>
  <si>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</si>
  <si>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</si>
  <si>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</si>
  <si>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</si>
  <si>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</si>
  <si>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</si>
  <si>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</si>
  <si>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</si>
  <si>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</si>
  <si>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</si>
  <si>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</si>
  <si>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</si>
  <si>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</si>
  <si>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</si>
  <si>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</si>
  <si>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</si>
  <si>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</si>
  <si>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</si>
  <si>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</si>
  <si>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</si>
  <si>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</si>
  <si>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</si>
  <si>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</si>
  <si>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</si>
  <si>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</si>
  <si>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</si>
  <si>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</si>
  <si>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</si>
  <si>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</si>
  <si>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</si>
  <si>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</si>
  <si>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</si>
  <si>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</si>
  <si>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</si>
  <si>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</si>
  <si>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</si>
  <si>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</si>
  <si>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</si>
  <si>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</si>
  <si>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</si>
  <si>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</si>
  <si>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</si>
  <si>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</si>
  <si>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</si>
  <si>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</si>
  <si>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</si>
  <si>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</si>
  <si>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</si>
  <si>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</si>
  <si>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</si>
  <si>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</si>
  <si>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</si>
  <si>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</si>
  <si>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</si>
  <si>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</si>
  <si>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</si>
  <si>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</si>
  <si>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</si>
  <si>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</si>
  <si>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</si>
  <si>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</si>
  <si>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</si>
  <si>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</si>
  <si>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</si>
  <si>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</si>
  <si>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</si>
  <si>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</si>
  <si>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</si>
  <si>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</si>
  <si>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</si>
  <si>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</si>
  <si>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</si>
  <si>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</si>
  <si>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</si>
  <si>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</si>
  <si>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</si>
  <si>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</si>
  <si>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</si>
  <si>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</si>
  <si>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</si>
  <si>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</si>
  <si>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</si>
  <si>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</si>
  <si>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</si>
  <si>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</si>
  <si>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</si>
  <si>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</si>
  <si>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</si>
  <si>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</si>
  <si>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</si>
  <si>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</si>
  <si>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</si>
  <si>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</si>
  <si>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</si>
  <si>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</si>
  <si>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</si>
  <si>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</si>
  <si>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</si>
  <si>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</si>
  <si>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</si>
  <si>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</si>
  <si>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</si>
  <si>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</si>
  <si>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</si>
  <si>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</si>
  <si>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</si>
  <si>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</si>
  <si>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</si>
  <si>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</si>
  <si>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</si>
  <si>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</si>
  <si>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</si>
  <si>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</si>
  <si>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</si>
  <si>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</si>
  <si>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</si>
  <si>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</si>
  <si>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</si>
  <si>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</si>
  <si>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</si>
  <si>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</si>
  <si>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</si>
  <si>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</si>
  <si>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</si>
  <si>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</si>
  <si>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</si>
  <si>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</si>
  <si>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</si>
  <si>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</si>
  <si>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</si>
  <si>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</si>
  <si>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</si>
  <si>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</si>
  <si>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</si>
  <si>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</si>
  <si>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</si>
  <si>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</si>
  <si>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</si>
  <si>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</si>
  <si>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</si>
  <si>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</si>
  <si>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</si>
  <si>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</si>
  <si>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</si>
  <si>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</si>
  <si>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</si>
  <si>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</si>
  <si>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</si>
  <si>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</si>
  <si>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</si>
  <si>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</si>
  <si>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</si>
  <si>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</si>
  <si>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</si>
  <si>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</si>
  <si>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</si>
  <si>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</si>
  <si>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</si>
  <si>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</si>
  <si>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</si>
  <si>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</si>
  <si>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</si>
  <si>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</si>
  <si>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</si>
  <si>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</si>
  <si>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</si>
  <si>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</si>
  <si>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</si>
  <si>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</si>
  <si>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</si>
  <si>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</si>
  <si>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</si>
  <si>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</si>
  <si>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</si>
  <si>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</si>
  <si>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</si>
  <si>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</si>
  <si>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</si>
  <si>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</si>
  <si>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</si>
  <si>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</si>
  <si>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</si>
  <si>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</si>
  <si>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</si>
  <si>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</si>
  <si>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</si>
  <si>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</si>
  <si>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</si>
  <si>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</si>
  <si>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</si>
  <si>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</si>
  <si>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</si>
  <si>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</si>
  <si>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</si>
  <si>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</si>
  <si>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</si>
  <si>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</si>
  <si>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</si>
  <si>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</si>
  <si>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</si>
  <si>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</si>
  <si>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</si>
  <si>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</si>
  <si>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</si>
  <si>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</si>
  <si>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</si>
  <si>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</si>
  <si>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</si>
  <si>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</si>
  <si>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</si>
  <si>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</si>
  <si>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</si>
  <si>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</si>
  <si>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</si>
  <si>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</si>
  <si>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</si>
  <si>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</si>
  <si>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</si>
  <si>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</si>
  <si>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</si>
  <si>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</si>
  <si>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</si>
  <si>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</si>
  <si>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</si>
  <si>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</si>
  <si>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</si>
  <si>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</si>
  <si>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</si>
  <si>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</si>
  <si>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</si>
  <si>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</si>
  <si>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</si>
  <si>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</si>
  <si>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</si>
  <si>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</si>
  <si>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</si>
  <si>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</si>
  <si>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</si>
  <si>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</si>
  <si>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</si>
  <si>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</si>
  <si>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</si>
  <si>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</si>
  <si>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</si>
  <si>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</si>
  <si>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</si>
  <si>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</si>
  <si>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</si>
  <si>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</si>
  <si>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</si>
  <si>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</si>
  <si>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</si>
  <si>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</si>
  <si>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</si>
  <si>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</si>
  <si>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</si>
  <si>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</si>
  <si>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</si>
  <si>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</si>
  <si>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</si>
  <si>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</si>
  <si>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</si>
  <si>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</si>
  <si>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</si>
  <si>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</si>
  <si>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</si>
  <si>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</si>
  <si>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</si>
  <si>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</si>
  <si>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</si>
  <si>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</si>
  <si>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</si>
  <si>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</si>
  <si>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</si>
  <si>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</si>
  <si>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</si>
  <si>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</si>
  <si>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</si>
  <si>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</si>
  <si>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</si>
  <si>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</si>
  <si>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</si>
  <si>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</si>
  <si>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</si>
  <si>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</si>
  <si>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</si>
  <si>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</si>
  <si>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</si>
  <si>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</si>
  <si>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</si>
  <si>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</si>
  <si>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</si>
  <si>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</si>
  <si>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</si>
  <si>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</si>
  <si>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</si>
  <si>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</si>
  <si>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</si>
  <si>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</si>
  <si>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</si>
  <si>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</si>
  <si>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</si>
  <si>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</si>
  <si>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</si>
  <si>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</si>
  <si>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</si>
  <si>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</si>
  <si>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</si>
  <si>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</si>
  <si>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</si>
  <si>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</si>
  <si>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</si>
  <si>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</si>
  <si>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</si>
  <si>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</si>
  <si>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</si>
  <si>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</si>
  <si>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</si>
  <si>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</si>
  <si>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</si>
  <si>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</si>
  <si>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</si>
  <si>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</si>
  <si>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</si>
  <si>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</si>
  <si>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</si>
  <si>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</si>
  <si>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</si>
  <si>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</si>
  <si>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</si>
  <si>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</si>
  <si>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</si>
  <si>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</si>
  <si>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</si>
  <si>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</si>
  <si>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</si>
  <si>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</si>
  <si>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</si>
  <si>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</si>
  <si>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</si>
  <si>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</si>
  <si>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</si>
  <si>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</si>
  <si>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</si>
  <si>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</si>
  <si>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</si>
  <si>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</si>
  <si>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</si>
  <si>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</si>
  <si>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</si>
  <si>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</si>
  <si>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</si>
  <si>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</si>
  <si>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</si>
  <si>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</si>
  <si>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</si>
  <si>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</si>
  <si>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</si>
  <si>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</si>
  <si>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</si>
  <si>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</si>
  <si>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</si>
  <si>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</si>
  <si>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</si>
  <si>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</si>
  <si>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</si>
  <si>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</si>
  <si>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</si>
  <si>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</si>
  <si>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</si>
  <si>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</si>
  <si>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</si>
  <si>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</si>
  <si>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</si>
  <si>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</si>
  <si>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</si>
  <si>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</si>
  <si>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</si>
  <si>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</si>
  <si>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</si>
  <si>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</si>
  <si>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</si>
  <si>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</si>
  <si>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</si>
  <si>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</si>
  <si>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</si>
  <si>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</si>
  <si>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</si>
  <si>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</si>
  <si>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</si>
  <si>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</si>
  <si>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</si>
  <si>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</si>
  <si>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</si>
  <si>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</si>
  <si>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</si>
  <si>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</si>
  <si>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</si>
  <si>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</si>
  <si>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</si>
  <si>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</si>
  <si>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</si>
  <si>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</si>
  <si>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</si>
  <si>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</si>
  <si>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</si>
  <si>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</si>
  <si>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</si>
  <si>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</si>
  <si>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</si>
  <si>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</si>
  <si>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</si>
  <si>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</si>
  <si>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</si>
  <si>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</si>
  <si>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</si>
  <si>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</si>
  <si>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</si>
  <si>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</si>
  <si>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</si>
  <si>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</si>
  <si>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</si>
  <si>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</si>
  <si>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</si>
  <si>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</si>
  <si>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</si>
  <si>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</si>
  <si>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</si>
  <si>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</si>
  <si>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</si>
  <si>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</si>
  <si>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</si>
  <si>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</si>
  <si>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</si>
  <si>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</si>
  <si>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</si>
  <si>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</si>
  <si>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</si>
  <si>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</si>
  <si>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</si>
  <si>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</si>
  <si>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</si>
  <si>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</si>
  <si>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</si>
  <si>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</si>
  <si>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</si>
  <si>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</si>
  <si>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</si>
  <si>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</si>
  <si>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</si>
  <si>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</si>
  <si>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</si>
  <si>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</si>
  <si>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</si>
  <si>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</si>
  <si>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</si>
  <si>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</si>
  <si>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</si>
  <si>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</si>
  <si>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</si>
  <si>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</si>
  <si>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</si>
  <si>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</si>
  <si>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</si>
  <si>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</si>
  <si>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</si>
  <si>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</si>
  <si>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</si>
  <si>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</si>
  <si>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</si>
  <si>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</si>
  <si>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</si>
  <si>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</si>
  <si>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</si>
  <si>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</si>
  <si>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</si>
  <si>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</si>
  <si>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</si>
  <si>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</si>
  <si>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</si>
  <si>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</si>
  <si>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</si>
  <si>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</si>
  <si>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</si>
  <si>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</si>
  <si>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</si>
  <si>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</si>
  <si>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</si>
  <si>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</si>
  <si>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</si>
  <si>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</si>
  <si>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</si>
  <si>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</si>
  <si>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</si>
  <si>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</si>
  <si>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</si>
  <si>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</si>
  <si>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</si>
  <si>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</si>
  <si>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</si>
  <si>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</si>
  <si>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</si>
  <si>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</si>
  <si>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</si>
  <si>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</si>
  <si>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</si>
  <si>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</si>
  <si>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</si>
  <si>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</si>
  <si>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</si>
  <si>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</si>
  <si>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</si>
  <si>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</si>
  <si>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</si>
  <si>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</si>
  <si>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</si>
  <si>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</si>
  <si>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</si>
  <si>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</si>
  <si>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</si>
  <si>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</si>
  <si>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</si>
  <si>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</si>
  <si>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</si>
  <si>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</si>
  <si>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</si>
  <si>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</si>
  <si>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</si>
  <si>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</si>
  <si>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</si>
  <si>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</si>
  <si>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</si>
  <si>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</si>
  <si>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</si>
  <si>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</si>
  <si>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</si>
  <si>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</si>
  <si>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</si>
  <si>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</si>
  <si>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</si>
  <si>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</si>
  <si>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</si>
  <si>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</si>
  <si>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</si>
  <si>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</si>
  <si>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</si>
  <si>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</si>
  <si>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</si>
  <si>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</si>
  <si>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</si>
  <si>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</si>
  <si>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</si>
  <si>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</si>
  <si>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</si>
  <si>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</si>
  <si>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</si>
  <si>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</si>
  <si>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</si>
  <si>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</si>
  <si>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</si>
  <si>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</si>
  <si>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</si>
  <si>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</si>
  <si>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</si>
  <si>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</si>
  <si>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</si>
  <si>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</si>
  <si>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</si>
  <si>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</si>
  <si>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</si>
  <si>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</si>
  <si>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</si>
  <si>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</si>
  <si>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</si>
  <si>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</si>
  <si>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</si>
  <si>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</si>
  <si>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</si>
  <si>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</si>
  <si>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</si>
  <si>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</si>
  <si>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</si>
  <si>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</si>
  <si>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</si>
  <si>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</si>
  <si>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</si>
  <si>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</si>
  <si>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</si>
  <si>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</si>
  <si>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</si>
  <si>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</si>
  <si>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</si>
  <si>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</si>
  <si>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</si>
  <si>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</si>
  <si>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</si>
  <si>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</si>
  <si>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</si>
  <si>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</si>
  <si>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</si>
  <si>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</si>
  <si>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</si>
  <si>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</si>
  <si>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</si>
  <si>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</si>
  <si>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</si>
  <si>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</si>
  <si>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</si>
  <si>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</si>
  <si>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</si>
  <si>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</si>
  <si>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</si>
  <si>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</si>
  <si>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</si>
  <si>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</si>
  <si>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</si>
  <si>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</si>
  <si>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</si>
  <si>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</si>
  <si>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</si>
  <si>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</si>
  <si>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</si>
  <si>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</si>
  <si>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</si>
  <si>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</si>
  <si>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</si>
  <si>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</si>
  <si>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</si>
  <si>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</si>
  <si>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</si>
  <si>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</si>
  <si>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</si>
  <si>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</si>
  <si>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</si>
  <si>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</si>
  <si>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</si>
  <si>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</si>
  <si>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</si>
  <si>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</si>
  <si>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</si>
  <si>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</si>
  <si>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</si>
  <si>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</si>
  <si>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</si>
  <si>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</si>
  <si>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</si>
  <si>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</si>
  <si>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</si>
  <si>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</si>
  <si>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</si>
  <si>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</si>
  <si>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</si>
  <si>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</si>
  <si>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</si>
  <si>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</si>
  <si>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</si>
  <si>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</si>
  <si>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</si>
  <si>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</si>
  <si>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</si>
  <si>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</si>
  <si>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</si>
  <si>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</si>
  <si>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</si>
  <si>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</si>
  <si>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</si>
  <si>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</si>
  <si>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</si>
  <si>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</si>
  <si>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</si>
  <si>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</si>
  <si>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</si>
  <si>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</si>
  <si>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</si>
  <si>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</si>
  <si>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</si>
  <si>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</si>
  <si>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</si>
  <si>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</si>
  <si>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</si>
  <si>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</si>
  <si>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</si>
  <si>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</si>
  <si>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</si>
  <si>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</si>
  <si>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</si>
  <si>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</si>
  <si>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</si>
  <si>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</si>
  <si>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</si>
  <si>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</si>
  <si>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</si>
  <si>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</si>
  <si>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</si>
  <si>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</si>
  <si>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</si>
  <si>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</si>
  <si>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</si>
  <si>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</si>
  <si>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</si>
  <si>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</si>
  <si>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</si>
  <si>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</si>
  <si>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</si>
  <si>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</si>
  <si>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</si>
  <si>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</si>
  <si>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</si>
  <si>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</si>
  <si>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</si>
  <si>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</si>
  <si>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</si>
  <si>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</si>
  <si>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</si>
  <si>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</si>
  <si>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</si>
  <si>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</si>
  <si>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</si>
  <si>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</si>
  <si>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</si>
  <si>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</si>
  <si>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</si>
  <si>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</si>
  <si>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</si>
  <si>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</si>
  <si>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</si>
  <si>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</si>
  <si>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</si>
  <si>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</si>
  <si>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</si>
  <si>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</si>
  <si>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</si>
  <si>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</si>
  <si>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</si>
  <si>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</si>
  <si>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</si>
  <si>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</si>
  <si>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</si>
  <si>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</si>
  <si>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</si>
  <si>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</si>
  <si>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</si>
  <si>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</si>
  <si>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</si>
  <si>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</si>
  <si>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</si>
  <si>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</si>
  <si>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</si>
  <si>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</si>
  <si>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</si>
  <si>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</si>
  <si>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</si>
  <si>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</si>
  <si>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</si>
  <si>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</si>
  <si>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</si>
  <si>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</si>
  <si>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</si>
  <si>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</si>
  <si>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</si>
  <si>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</si>
  <si>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</si>
  <si>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</si>
  <si>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</si>
  <si>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</si>
  <si>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</si>
  <si>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</si>
  <si>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</si>
  <si>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</si>
  <si>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</si>
  <si>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</si>
  <si>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</si>
  <si>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</si>
  <si>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</si>
  <si>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</si>
  <si>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</si>
  <si>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</si>
  <si>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</si>
  <si>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</si>
  <si>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</si>
  <si>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</si>
  <si>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</si>
  <si>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</si>
  <si>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</si>
  <si>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</si>
  <si>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</si>
  <si>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</si>
  <si>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</si>
  <si>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</si>
  <si>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</si>
  <si>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</si>
  <si>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</si>
  <si>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</si>
  <si>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</si>
  <si>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</si>
  <si>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</si>
  <si>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</si>
  <si>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</si>
  <si>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</si>
  <si>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</si>
  <si>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</si>
  <si>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</si>
  <si>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</si>
  <si>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</si>
  <si>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</si>
  <si>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</si>
  <si>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</si>
  <si>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</si>
  <si>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</si>
  <si>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</si>
  <si>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</si>
  <si>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</si>
  <si>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</si>
  <si>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</si>
  <si>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</si>
  <si>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</si>
  <si>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</si>
  <si>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</si>
  <si>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</si>
  <si>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</si>
  <si>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</si>
  <si>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</si>
  <si>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</si>
  <si>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</si>
  <si>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</si>
  <si>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</si>
  <si>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</si>
  <si>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</si>
  <si>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</si>
  <si>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</si>
  <si>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</si>
  <si>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</si>
  <si>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</si>
  <si>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</si>
  <si>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</si>
  <si>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</si>
  <si>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</si>
  <si>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</si>
  <si>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</si>
  <si>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</si>
  <si>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</si>
  <si>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</si>
  <si>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</si>
  <si>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</si>
  <si>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</si>
  <si>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</si>
  <si>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</si>
  <si>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</si>
  <si>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</si>
  <si>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</si>
  <si>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</si>
  <si>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</si>
  <si>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</si>
  <si>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</si>
  <si>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</si>
  <si>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</si>
  <si>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</si>
  <si>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</si>
  <si>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</si>
  <si>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</si>
  <si>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</si>
  <si>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</si>
  <si>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</si>
  <si>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</si>
  <si>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</si>
  <si>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</si>
  <si>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</si>
  <si>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</si>
  <si>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</si>
  <si>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</si>
  <si>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</si>
  <si>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</si>
  <si>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</si>
  <si>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</si>
  <si>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</si>
  <si>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</si>
  <si>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</si>
  <si>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</si>
  <si>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</si>
  <si>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</si>
  <si>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</si>
  <si>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</si>
  <si>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</si>
  <si>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</si>
  <si>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</si>
  <si>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</si>
  <si>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</si>
  <si>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</si>
  <si>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</si>
  <si>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</si>
  <si>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</si>
  <si>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</si>
  <si>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</si>
  <si>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</si>
  <si>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</si>
  <si>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</si>
  <si>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</si>
  <si>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</si>
  <si>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</si>
  <si>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</si>
  <si>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</si>
  <si>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</si>
  <si>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</si>
  <si>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</si>
  <si>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</si>
  <si>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</si>
  <si>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</si>
  <si>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</si>
  <si>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</si>
  <si>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</si>
  <si>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</si>
  <si>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</si>
  <si>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</si>
  <si>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</si>
  <si>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</si>
  <si>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</si>
  <si>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</si>
  <si>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</si>
  <si>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</si>
  <si>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</si>
  <si>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</si>
  <si>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</si>
  <si>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</si>
  <si>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</si>
  <si>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</si>
  <si>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</si>
  <si>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</si>
  <si>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</si>
  <si>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</si>
  <si>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</si>
  <si>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</si>
  <si>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</si>
  <si>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</si>
  <si>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</si>
  <si>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</si>
  <si>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</si>
  <si>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</si>
  <si>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</si>
  <si>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</si>
  <si>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</si>
  <si>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</si>
  <si>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</si>
  <si>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</si>
  <si>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</si>
  <si>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</si>
  <si>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</si>
  <si>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</si>
  <si>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</si>
  <si>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</si>
  <si>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</si>
  <si>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</si>
  <si>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</si>
  <si>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</si>
  <si>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</si>
  <si>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</si>
  <si>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</si>
  <si>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</si>
  <si>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</si>
  <si>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</si>
  <si>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</si>
  <si>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</si>
  <si>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</si>
  <si>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</si>
  <si>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</si>
  <si>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</si>
  <si>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</si>
  <si>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</si>
  <si>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</si>
  <si>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</si>
  <si>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</si>
  <si>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</si>
  <si>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</si>
  <si>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</si>
  <si>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</si>
  <si>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</si>
  <si>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</si>
  <si>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</si>
  <si>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</si>
  <si>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</si>
  <si>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</si>
  <si>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</si>
  <si>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</si>
  <si>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</si>
  <si>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</si>
  <si>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</si>
  <si>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</si>
  <si>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</si>
  <si>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</si>
  <si>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</si>
  <si>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</si>
  <si>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</si>
  <si>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</si>
  <si>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</si>
  <si>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</si>
  <si>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</si>
  <si>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</si>
  <si>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</si>
  <si>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</si>
  <si>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</si>
  <si>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</si>
  <si>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</si>
  <si>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</si>
  <si>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</si>
  <si>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</si>
  <si>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</si>
  <si>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</si>
  <si>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</si>
  <si>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</si>
  <si>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</si>
  <si>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</si>
  <si>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</si>
  <si>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</si>
  <si>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</si>
  <si>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</si>
  <si>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</si>
  <si>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</si>
  <si>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</si>
  <si>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</si>
  <si>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</si>
  <si>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</si>
  <si>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</si>
  <si>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</si>
  <si>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</si>
  <si>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</si>
  <si>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</si>
  <si>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</si>
  <si>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</si>
  <si>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</si>
  <si>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</si>
  <si>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</si>
  <si>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</si>
  <si>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</si>
  <si>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</si>
  <si>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</si>
  <si>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</si>
  <si>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</si>
  <si>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</si>
  <si>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</si>
  <si>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</si>
  <si>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</si>
  <si>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</si>
  <si>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</si>
  <si>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</si>
  <si>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</si>
  <si>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</si>
  <si>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</si>
  <si>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</si>
  <si>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</si>
  <si>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</si>
  <si>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</si>
  <si>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</si>
  <si>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</si>
  <si>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</si>
  <si>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</si>
  <si>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</si>
  <si>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</si>
  <si>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</si>
  <si>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</si>
  <si>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</si>
  <si>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</si>
  <si>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</si>
  <si>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</si>
  <si>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</si>
  <si>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</si>
  <si>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</si>
  <si>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</si>
  <si>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</si>
  <si>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</si>
  <si>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</si>
  <si>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</si>
  <si>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</si>
  <si>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</si>
  <si>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</si>
  <si>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</si>
  <si>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</si>
  <si>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</si>
  <si>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</si>
  <si>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</si>
  <si>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</si>
  <si>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</si>
  <si>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</si>
  <si>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</si>
  <si>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</si>
  <si>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</si>
  <si>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</si>
  <si>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</si>
  <si>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</si>
  <si>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</si>
  <si>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</si>
  <si>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</si>
  <si>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</si>
  <si>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</si>
  <si>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</si>
  <si>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</si>
  <si>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</si>
  <si>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</si>
  <si>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</si>
  <si>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</si>
  <si>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</si>
  <si>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</si>
  <si>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</si>
  <si>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</si>
  <si>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</si>
  <si>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</si>
  <si>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</si>
  <si>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</si>
  <si>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</si>
  <si>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</si>
  <si>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</si>
  <si>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</si>
  <si>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</si>
  <si>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</si>
  <si>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</si>
  <si>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</si>
  <si>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</si>
  <si>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</si>
  <si>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</si>
  <si>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</si>
  <si>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</si>
  <si>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</si>
  <si>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</si>
  <si>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</si>
  <si>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</si>
  <si>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</si>
  <si>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</si>
  <si>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</si>
  <si>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</si>
  <si>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</si>
  <si>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</si>
  <si>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</si>
  <si>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</si>
  <si>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</si>
  <si>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</si>
  <si>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</si>
  <si>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</si>
  <si>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</si>
  <si>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</si>
  <si>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</si>
  <si>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</si>
  <si>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</si>
  <si>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</si>
  <si>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</si>
  <si>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</si>
  <si>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</si>
  <si>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</si>
  <si>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</si>
  <si>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</si>
  <si>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</si>
  <si>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</si>
  <si>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</si>
  <si>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</si>
  <si>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</si>
  <si>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</si>
  <si>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</si>
  <si>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</si>
  <si>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</si>
  <si>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</si>
  <si>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</si>
  <si>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</si>
  <si>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</si>
  <si>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</si>
  <si>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</si>
  <si>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</si>
  <si>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</si>
  <si>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</si>
  <si>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</si>
  <si>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</si>
  <si>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</si>
  <si>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</si>
  <si>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</si>
  <si>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</si>
  <si>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</si>
  <si>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</si>
  <si>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</si>
  <si>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</si>
  <si>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</si>
  <si>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</si>
  <si>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</si>
  <si>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</si>
  <si>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</si>
  <si>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</si>
  <si>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</si>
  <si>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</si>
  <si>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</si>
  <si>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</si>
  <si>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</si>
  <si>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</si>
  <si>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</si>
  <si>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</si>
  <si>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</si>
  <si>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</si>
  <si>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</si>
  <si>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</si>
  <si>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</si>
  <si>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</si>
  <si>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</si>
  <si>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</si>
  <si>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</si>
  <si>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</si>
  <si>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</si>
  <si>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</si>
  <si>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</si>
  <si>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</si>
  <si>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</si>
  <si>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</si>
  <si>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</si>
  <si>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</si>
  <si>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</si>
  <si>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</si>
  <si>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</si>
  <si>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</si>
  <si>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</si>
  <si>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</si>
  <si>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</si>
  <si>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</si>
  <si>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</si>
  <si>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</si>
  <si>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</si>
  <si>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</si>
  <si>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</si>
  <si>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</si>
  <si>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</si>
  <si>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</si>
  <si>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</si>
  <si>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</si>
  <si>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</si>
  <si>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</si>
  <si>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</si>
  <si>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</si>
  <si>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</si>
  <si>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</si>
  <si>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</si>
  <si>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</si>
  <si>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</si>
  <si>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</si>
  <si>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</si>
  <si>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</si>
  <si>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</si>
  <si>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</si>
  <si>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</si>
  <si>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</si>
  <si>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</si>
  <si>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</si>
  <si>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</si>
  <si>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</si>
  <si>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</si>
  <si>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</si>
  <si>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</si>
  <si>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</si>
  <si>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</si>
  <si>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</si>
  <si>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</si>
  <si>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</si>
  <si>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</si>
  <si>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</si>
  <si>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</si>
  <si>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</si>
  <si>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</si>
  <si>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</si>
  <si>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</si>
  <si>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</si>
  <si>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</si>
  <si>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</si>
  <si>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</si>
  <si>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</si>
  <si>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</si>
  <si>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</si>
  <si>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</si>
  <si>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</si>
  <si>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</si>
  <si>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</si>
  <si>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</si>
  <si>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</si>
  <si>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</si>
  <si>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</si>
  <si>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</si>
  <si>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</si>
  <si>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</si>
  <si>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</si>
  <si>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</si>
  <si>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</si>
  <si>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</si>
  <si>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</si>
  <si>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</si>
  <si>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</si>
  <si>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</si>
  <si>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</si>
  <si>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</si>
  <si>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</si>
  <si>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</si>
  <si>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</si>
  <si>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</si>
  <si>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</si>
  <si>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</si>
  <si>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</si>
  <si>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</si>
  <si>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</si>
  <si>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</si>
  <si>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</si>
  <si>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</si>
  <si>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</si>
  <si>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</si>
  <si>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</si>
  <si>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</si>
  <si>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</si>
  <si>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</si>
  <si>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</si>
  <si>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</si>
  <si>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</si>
  <si>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</si>
  <si>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</si>
  <si>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</si>
  <si>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</si>
  <si>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</si>
  <si>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</si>
  <si>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</si>
  <si>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</si>
  <si>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</si>
  <si>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</si>
  <si>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</si>
  <si>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</si>
  <si>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</si>
  <si>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</si>
  <si>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</si>
  <si>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</si>
  <si>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</si>
  <si>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</si>
  <si>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</si>
  <si>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</si>
  <si>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</si>
  <si>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</si>
  <si>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</si>
  <si>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</si>
  <si>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</si>
  <si>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</si>
  <si>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</si>
  <si>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</si>
  <si>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</si>
  <si>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</si>
  <si>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</si>
  <si>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</si>
  <si>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</si>
  <si>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</si>
  <si>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</si>
  <si>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</si>
  <si>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</si>
  <si>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</si>
  <si>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</si>
  <si>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</si>
  <si>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</si>
  <si>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</si>
  <si>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</si>
  <si>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</si>
  <si>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</si>
  <si>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</si>
  <si>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</si>
  <si>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</si>
  <si>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</si>
  <si>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</si>
  <si>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</si>
  <si>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</si>
  <si>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</si>
  <si>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</si>
  <si>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</si>
  <si>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</si>
  <si>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</si>
  <si>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</si>
  <si>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</si>
  <si>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</si>
  <si>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</si>
  <si>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</si>
  <si>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</si>
  <si>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</si>
  <si>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</si>
  <si>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</si>
  <si>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</si>
  <si>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</si>
  <si>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</si>
  <si>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</si>
  <si>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</si>
  <si>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</si>
  <si>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</si>
  <si>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</si>
  <si>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</si>
  <si>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</si>
  <si>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</si>
  <si>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</si>
  <si>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</si>
  <si>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</si>
  <si>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</si>
  <si>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</si>
  <si>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</si>
  <si>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</si>
  <si>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</si>
  <si>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</si>
  <si>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</si>
  <si>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</si>
  <si>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</si>
  <si>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</si>
  <si>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</si>
  <si>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</si>
  <si>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</si>
  <si>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</si>
  <si>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</si>
  <si>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</si>
  <si>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</si>
  <si>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</si>
  <si>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</si>
  <si>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</si>
  <si>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</si>
  <si>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</si>
  <si>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</si>
  <si>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</si>
  <si>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</si>
  <si>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</si>
  <si>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</si>
  <si>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</si>
  <si>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</si>
  <si>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</si>
  <si>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</si>
  <si>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</si>
  <si>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</si>
  <si>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</si>
  <si>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</si>
  <si>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</si>
  <si>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</si>
  <si>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</si>
  <si>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</si>
  <si>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</si>
  <si>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</si>
  <si>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</si>
  <si>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</si>
  <si>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</si>
  <si>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</si>
  <si>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</si>
  <si>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</si>
  <si>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</si>
  <si>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</si>
  <si>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</si>
  <si>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</si>
  <si>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</si>
  <si>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</si>
  <si>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</si>
  <si>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</si>
  <si>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</si>
  <si>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</si>
  <si>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</si>
  <si>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</si>
  <si>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</si>
  <si>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</si>
  <si>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</si>
  <si>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</si>
  <si>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</si>
  <si>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</si>
  <si>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</si>
  <si>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</si>
  <si>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</si>
  <si>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</si>
  <si>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</si>
  <si>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</si>
  <si>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</si>
  <si>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</si>
  <si>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</si>
  <si>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</si>
  <si>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</si>
  <si>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</si>
  <si>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</si>
  <si>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</si>
  <si>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</si>
  <si>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</si>
  <si>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</si>
  <si>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</si>
  <si>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</si>
  <si>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</si>
  <si>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</si>
  <si>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</si>
  <si>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</si>
  <si>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</si>
  <si>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</si>
  <si>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</si>
  <si>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</si>
  <si>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</si>
  <si>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</si>
  <si>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</si>
  <si>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</si>
  <si>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</si>
  <si>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</si>
  <si>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</si>
  <si>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</si>
  <si>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</si>
  <si>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</si>
  <si>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</si>
  <si>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</si>
  <si>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</si>
  <si>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</si>
  <si>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</si>
  <si>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</si>
  <si>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</si>
  <si>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</si>
  <si>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</si>
  <si>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</si>
  <si>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</si>
  <si>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</si>
  <si>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</si>
  <si>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</si>
  <si>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</si>
  <si>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</si>
  <si>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</si>
  <si>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</si>
  <si>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</si>
  <si>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</si>
  <si>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</si>
  <si>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</si>
  <si>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</si>
  <si>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</si>
  <si>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</si>
  <si>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</si>
  <si>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</si>
  <si>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</si>
  <si>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</si>
  <si>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</si>
  <si>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</si>
  <si>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</si>
  <si>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</si>
  <si>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</si>
  <si>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</si>
  <si>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</si>
  <si>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</si>
  <si>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</si>
  <si>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</si>
  <si>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</si>
  <si>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</si>
  <si>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</si>
  <si>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</si>
  <si>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</si>
  <si>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</si>
  <si>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</si>
  <si>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</si>
  <si>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</si>
  <si>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</si>
  <si>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</si>
  <si>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</si>
  <si>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</si>
  <si>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</si>
  <si>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</si>
  <si>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</si>
  <si>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</si>
  <si>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</si>
  <si>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</si>
  <si>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</si>
  <si>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</si>
  <si>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</si>
  <si>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</si>
  <si>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</si>
  <si>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</si>
  <si>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</si>
  <si>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</si>
  <si>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</si>
  <si>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</si>
  <si>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</si>
  <si>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</si>
  <si>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</si>
  <si>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</si>
  <si>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</si>
  <si>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</si>
  <si>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</si>
  <si>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</si>
  <si>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</si>
  <si>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</si>
  <si>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</si>
  <si>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</si>
  <si>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</si>
  <si>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</si>
  <si>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</si>
  <si>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</si>
  <si>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</si>
  <si>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</si>
  <si>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</si>
  <si>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</si>
  <si>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</si>
  <si>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</si>
  <si>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</si>
  <si>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</si>
  <si>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</si>
  <si>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</si>
  <si>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</si>
  <si>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</si>
  <si>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</si>
  <si>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</si>
  <si>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</si>
  <si>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</si>
  <si>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</si>
  <si>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</si>
  <si>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</si>
  <si>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</si>
  <si>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</si>
  <si>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</si>
  <si>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</si>
  <si>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</si>
  <si>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</si>
  <si>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</si>
  <si>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</si>
  <si>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</si>
  <si>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</si>
  <si>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</si>
  <si>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</si>
  <si>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</si>
  <si>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</si>
  <si>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</si>
  <si>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</si>
  <si>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</si>
  <si>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</si>
  <si>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</si>
  <si>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</si>
  <si>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</si>
  <si>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</si>
  <si>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</si>
  <si>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</si>
  <si>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</si>
  <si>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</si>
  <si>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</si>
  <si>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</si>
  <si>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</si>
  <si>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</si>
  <si>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</si>
  <si>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</si>
  <si>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</si>
  <si>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</si>
  <si>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</si>
  <si>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</si>
  <si>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</si>
  <si>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</si>
  <si>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</si>
  <si>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</si>
  <si>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</si>
  <si>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</si>
  <si>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</si>
  <si>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</si>
  <si>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</si>
  <si>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</si>
  <si>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</si>
  <si>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</si>
  <si>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</si>
  <si>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</si>
  <si>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</si>
  <si>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</si>
  <si>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</si>
  <si>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</si>
  <si>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</si>
  <si>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</si>
  <si>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</si>
  <si>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</si>
  <si>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</si>
  <si>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</si>
  <si>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</si>
  <si>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</si>
  <si>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</si>
  <si>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</si>
  <si>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</si>
  <si>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</si>
  <si>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</si>
  <si>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</si>
  <si>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</si>
  <si>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</si>
  <si>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</si>
  <si>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</si>
  <si>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</si>
  <si>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</si>
  <si>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</si>
  <si>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</si>
  <si>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</si>
  <si>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</si>
  <si>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</si>
  <si>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</si>
  <si>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</si>
  <si>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</si>
  <si>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</si>
  <si>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</si>
  <si>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</si>
  <si>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</si>
  <si>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</si>
  <si>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</si>
  <si>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</si>
  <si>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</si>
  <si>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</si>
  <si>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</si>
  <si>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</si>
  <si>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</si>
  <si>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</si>
  <si>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</si>
  <si>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</si>
  <si>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</si>
  <si>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</si>
  <si>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</si>
  <si>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</si>
  <si>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</si>
  <si>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</si>
  <si>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</si>
  <si>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</si>
  <si>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</si>
  <si>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</si>
  <si>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</si>
  <si>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</si>
  <si>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</si>
  <si>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</si>
  <si>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</si>
  <si>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</si>
  <si>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</si>
  <si>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</si>
  <si>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</si>
  <si>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</si>
  <si>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</si>
  <si>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</si>
  <si>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</si>
  <si>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</si>
  <si>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</si>
  <si>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</si>
  <si>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</si>
  <si>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</si>
  <si>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</si>
  <si>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</si>
  <si>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</si>
  <si>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</si>
  <si>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</si>
  <si>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</si>
  <si>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</si>
  <si>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</si>
  <si>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</si>
  <si>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</si>
  <si>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</si>
  <si>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</si>
  <si>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</si>
  <si>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</si>
  <si>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</si>
  <si>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</si>
  <si>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</si>
  <si>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</si>
  <si>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</si>
  <si>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</si>
  <si>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</si>
  <si>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</si>
  <si>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</si>
  <si>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</si>
  <si>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</si>
  <si>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</si>
  <si>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</si>
  <si>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</si>
  <si>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</si>
  <si>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</si>
  <si>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</si>
  <si>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</si>
  <si>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</si>
  <si>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</si>
  <si>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</si>
  <si>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</si>
  <si>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</si>
  <si>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</si>
  <si>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</si>
  <si>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</si>
  <si>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</si>
  <si>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</si>
  <si>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</si>
  <si>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</si>
  <si>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</si>
  <si>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</si>
  <si>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</si>
  <si>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</si>
  <si>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</si>
  <si>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</si>
  <si>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</si>
  <si>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</si>
  <si>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</si>
  <si>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</si>
  <si>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</si>
  <si>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</si>
  <si>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</si>
  <si>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</si>
  <si>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</si>
  <si>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</si>
  <si>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</si>
  <si>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</si>
  <si>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</si>
  <si>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</si>
  <si>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</si>
  <si>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</si>
  <si>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</si>
  <si>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</si>
  <si>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</si>
  <si>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</si>
  <si>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</si>
  <si>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</si>
  <si>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</si>
  <si>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</si>
  <si>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</si>
  <si>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</si>
  <si>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</si>
  <si>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</si>
  <si>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</si>
  <si>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</si>
  <si>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</si>
  <si>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</si>
  <si>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</si>
  <si>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</si>
  <si>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</si>
  <si>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</si>
  <si>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</si>
  <si>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</si>
  <si>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</si>
  <si>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</si>
  <si>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</si>
  <si>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</si>
  <si>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</si>
  <si>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</si>
  <si>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</si>
  <si>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</si>
  <si>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</si>
  <si>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</si>
  <si>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</si>
  <si>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</si>
  <si>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</si>
  <si>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</si>
  <si>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</si>
  <si>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</si>
  <si>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</si>
  <si>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</si>
  <si>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</si>
  <si>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</si>
  <si>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</si>
  <si>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</si>
  <si>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</si>
  <si>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</si>
  <si>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</si>
  <si>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</si>
  <si>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</si>
  <si>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</si>
  <si>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</si>
  <si>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</si>
  <si>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</si>
  <si>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</si>
  <si>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</si>
  <si>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</si>
  <si>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</si>
  <si>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</si>
  <si>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</si>
  <si>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</si>
  <si>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</si>
  <si>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</si>
  <si>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</si>
  <si>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</si>
  <si>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</si>
  <si>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</si>
  <si>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</si>
  <si>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</si>
  <si>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</si>
  <si>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</si>
  <si>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</si>
  <si>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</si>
  <si>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</si>
  <si>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</si>
  <si>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</si>
  <si>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</si>
  <si>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</si>
  <si>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</si>
  <si>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</si>
  <si>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</si>
  <si>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</si>
  <si>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</si>
  <si>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</si>
  <si>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</si>
  <si>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</si>
  <si>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</si>
  <si>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</si>
  <si>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</si>
  <si>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</si>
  <si>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</si>
  <si>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</si>
  <si>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</si>
  <si>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</si>
  <si>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</si>
  <si>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</si>
  <si>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</si>
  <si>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</si>
  <si>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</si>
  <si>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</si>
  <si>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</si>
  <si>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</si>
  <si>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</si>
  <si>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</si>
  <si>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</si>
  <si>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</si>
  <si>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</si>
  <si>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</si>
  <si>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</si>
  <si>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</si>
  <si>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</si>
  <si>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</si>
  <si>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</si>
  <si>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</si>
  <si>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</si>
  <si>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</si>
  <si>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</si>
  <si>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</si>
  <si>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</si>
  <si>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</si>
  <si>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</si>
  <si>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</si>
  <si>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</si>
  <si>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</si>
  <si>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</si>
  <si>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</si>
  <si>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</si>
  <si>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</si>
  <si>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</si>
  <si>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</si>
  <si>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</si>
  <si>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</si>
  <si>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</si>
  <si>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</si>
  <si>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</si>
  <si>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</si>
  <si>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</si>
  <si>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</si>
  <si>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</si>
  <si>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</si>
  <si>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</si>
  <si>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</si>
  <si>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</si>
  <si>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</si>
  <si>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</si>
  <si>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</si>
  <si>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</si>
  <si>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</si>
  <si>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</si>
  <si>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</si>
  <si>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</si>
  <si>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</si>
  <si>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</si>
  <si>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</si>
  <si>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</si>
  <si>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</si>
  <si>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</si>
  <si>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</si>
  <si>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</si>
  <si>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</si>
  <si>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</si>
  <si>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</si>
  <si>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</si>
  <si>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</si>
  <si>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</si>
  <si>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</si>
  <si>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</si>
  <si>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</si>
  <si>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</si>
  <si>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</si>
  <si>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</si>
  <si>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</si>
  <si>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</si>
  <si>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</si>
  <si>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</si>
  <si>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</si>
  <si>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</si>
  <si>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</si>
  <si>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</si>
  <si>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</si>
  <si>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</si>
  <si>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</si>
  <si>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</si>
  <si>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</si>
  <si>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</si>
  <si>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</si>
  <si>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</si>
  <si>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</si>
  <si>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</si>
  <si>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</si>
  <si>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</si>
  <si>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</si>
  <si>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</si>
  <si>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</si>
  <si>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</si>
  <si>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</si>
  <si>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</si>
  <si>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</si>
  <si>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</si>
  <si>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</si>
  <si>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</si>
  <si>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</si>
  <si>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</si>
  <si>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</si>
  <si>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</si>
  <si>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</si>
  <si>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</si>
  <si>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</si>
  <si>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</si>
  <si>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</si>
  <si>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</si>
  <si>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</si>
  <si>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</si>
  <si>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</si>
  <si>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</si>
  <si>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</si>
  <si>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</si>
  <si>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</si>
  <si>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</si>
  <si>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</si>
  <si>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</si>
  <si>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</si>
  <si>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</si>
  <si>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</si>
  <si>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</si>
  <si>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</si>
  <si>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</si>
  <si>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</si>
  <si>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</si>
  <si>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</si>
  <si>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</si>
  <si>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</si>
  <si>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</si>
  <si>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</si>
  <si>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</si>
  <si>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</si>
  <si>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</si>
  <si>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</si>
  <si>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</si>
  <si>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</si>
  <si>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</si>
  <si>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</si>
  <si>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</si>
  <si>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</si>
  <si>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</si>
  <si>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</si>
  <si>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</si>
  <si>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</si>
  <si>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</si>
  <si>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</si>
  <si>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</si>
  <si>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</si>
  <si>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</si>
  <si>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</si>
  <si>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</si>
  <si>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</si>
  <si>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</si>
  <si>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</si>
  <si>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</si>
  <si>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</si>
  <si>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</si>
  <si>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</si>
  <si>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</si>
  <si>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</si>
  <si>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</si>
  <si>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</si>
  <si>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</si>
  <si>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</si>
  <si>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</si>
  <si>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</si>
  <si>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</si>
  <si>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</si>
  <si>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</si>
  <si>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</si>
  <si>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</si>
  <si>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</si>
  <si>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</si>
  <si>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</si>
  <si>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</si>
  <si>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</si>
  <si>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</si>
  <si>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</si>
  <si>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</si>
  <si>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</si>
  <si>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</si>
  <si>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</si>
  <si>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</si>
  <si>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</si>
  <si>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</si>
  <si>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</si>
  <si>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</si>
  <si>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</si>
  <si>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</si>
  <si>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</si>
  <si>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</si>
  <si>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</si>
  <si>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</si>
  <si>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</si>
  <si>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</si>
  <si>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</si>
  <si>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</si>
  <si>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</si>
  <si>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</si>
  <si>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</si>
  <si>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</si>
  <si>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</si>
  <si>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</si>
  <si>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</si>
  <si>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</si>
  <si>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</si>
  <si>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</si>
  <si>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</si>
  <si>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</si>
  <si>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</si>
  <si>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</si>
  <si>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</si>
  <si>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</si>
  <si>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</si>
  <si>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</si>
  <si>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</si>
  <si>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</si>
  <si>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</si>
  <si>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</si>
  <si>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</si>
  <si>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</si>
  <si>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</si>
  <si>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</si>
  <si>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</si>
  <si>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</si>
  <si>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</si>
  <si>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</si>
  <si>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</si>
  <si>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</si>
  <si>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</si>
  <si>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</si>
  <si>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</si>
  <si>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</si>
  <si>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</si>
  <si>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</si>
  <si>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</si>
  <si>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</si>
  <si>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</si>
  <si>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</si>
  <si>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</si>
  <si>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</si>
  <si>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</si>
  <si>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</si>
  <si>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</si>
  <si>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</si>
  <si>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</si>
  <si>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</si>
  <si>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</si>
  <si>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</si>
  <si>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</si>
  <si>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</si>
  <si>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</si>
  <si>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</si>
  <si>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</si>
  <si>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</si>
  <si>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</si>
  <si>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</si>
  <si>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</si>
  <si>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</si>
  <si>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</si>
  <si>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</si>
  <si>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</si>
  <si>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</si>
  <si>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</si>
  <si>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</si>
  <si>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</si>
  <si>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</si>
  <si>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</si>
  <si>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</si>
  <si>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</si>
  <si>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</si>
  <si>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</si>
  <si>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</si>
  <si>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</si>
  <si>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</si>
  <si>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</si>
  <si>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</si>
  <si>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</si>
  <si>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</si>
  <si>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</si>
  <si>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</si>
  <si>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</si>
  <si>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</si>
  <si>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</si>
  <si>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</si>
  <si>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</si>
  <si>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</si>
  <si>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</si>
  <si>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</si>
  <si>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</si>
  <si>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</si>
  <si>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</si>
  <si>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</si>
  <si>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</si>
  <si>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</si>
  <si>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</si>
  <si>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</si>
  <si>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</si>
  <si>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</si>
  <si>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</si>
  <si>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</si>
  <si>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</si>
  <si>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</si>
  <si>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</si>
  <si>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</si>
  <si>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</si>
  <si>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</si>
  <si>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</si>
  <si>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</si>
  <si>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</si>
  <si>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</si>
  <si>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</si>
  <si>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</si>
  <si>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</si>
  <si>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</si>
  <si>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</si>
  <si>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</si>
  <si>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</si>
  <si>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</si>
  <si>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</si>
  <si>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</si>
  <si>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</si>
  <si>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</si>
  <si>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</si>
  <si>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</si>
  <si>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</si>
  <si>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</si>
  <si>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</si>
  <si>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</si>
  <si>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</si>
  <si>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</si>
  <si>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</si>
  <si>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</si>
  <si>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</si>
  <si>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</si>
  <si>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</si>
  <si>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</si>
  <si>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</si>
  <si>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</si>
  <si>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</si>
  <si>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</si>
  <si>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</si>
  <si>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</si>
  <si>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</si>
  <si>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</si>
  <si>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</si>
  <si>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</si>
  <si>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</si>
  <si>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</si>
  <si>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</si>
  <si>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</si>
  <si>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</si>
  <si>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</si>
  <si>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</si>
  <si>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</si>
  <si>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</si>
  <si>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</si>
  <si>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</si>
  <si>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</si>
  <si>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</si>
  <si>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</si>
  <si>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</si>
  <si>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</si>
  <si>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</si>
  <si>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</si>
  <si>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</si>
  <si>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</si>
  <si>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</si>
  <si>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</si>
  <si>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</si>
  <si>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</si>
  <si>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</si>
  <si>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</si>
  <si>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</si>
  <si>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</si>
  <si>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</si>
  <si>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</si>
  <si>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</si>
  <si>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</si>
  <si>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</si>
  <si>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</si>
  <si>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</si>
  <si>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</si>
  <si>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</si>
  <si>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</si>
  <si>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</si>
  <si>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</si>
  <si>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</si>
  <si>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</si>
  <si>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</si>
  <si>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</si>
  <si>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</si>
  <si>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</si>
  <si>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</si>
  <si>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</si>
  <si>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</si>
  <si>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</si>
  <si>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</si>
  <si>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</si>
  <si>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</si>
  <si>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</si>
  <si>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</si>
  <si>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</si>
  <si>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</si>
  <si>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</si>
  <si>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</si>
  <si>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</si>
  <si>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</si>
  <si>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</si>
  <si>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</si>
  <si>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</si>
  <si>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</si>
  <si>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</si>
  <si>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</si>
  <si>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</si>
  <si>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</si>
  <si>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</si>
  <si>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</si>
  <si>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</si>
  <si>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</si>
  <si>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</si>
  <si>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</si>
  <si>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</si>
  <si>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</si>
  <si>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</si>
  <si>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</si>
  <si>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</si>
  <si>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</si>
  <si>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</si>
  <si>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</si>
  <si>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</si>
  <si>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</si>
  <si>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</si>
  <si>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</si>
  <si>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</si>
  <si>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</si>
  <si>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</si>
  <si>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</si>
  <si>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</si>
  <si>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</si>
  <si>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</si>
  <si>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</si>
  <si>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</si>
  <si>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</si>
  <si>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</si>
  <si>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</si>
  <si>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</si>
  <si>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</si>
  <si>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</si>
  <si>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</si>
  <si>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</si>
  <si>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</si>
  <si>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</si>
  <si>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</si>
  <si>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</si>
  <si>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</si>
  <si>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</si>
  <si>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</si>
  <si>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</si>
  <si>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</si>
  <si>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</si>
  <si>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</si>
  <si>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</si>
  <si>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</si>
  <si>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</si>
  <si>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</si>
  <si>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</si>
  <si>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</si>
  <si>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</si>
  <si>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</si>
  <si>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</si>
  <si>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</si>
  <si>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</si>
  <si>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</si>
  <si>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</si>
  <si>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</si>
  <si>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</si>
  <si>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</si>
  <si>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</si>
  <si>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</si>
  <si>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</si>
  <si>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</si>
  <si>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</si>
  <si>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</si>
  <si>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</si>
  <si>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</si>
  <si>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</si>
  <si>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</si>
  <si>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</si>
  <si>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</si>
  <si>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</si>
  <si>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</si>
  <si>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</si>
  <si>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</si>
  <si>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</si>
  <si>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</si>
  <si>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</si>
  <si>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</si>
  <si>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</si>
  <si>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</si>
  <si>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</si>
  <si>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</si>
  <si>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</si>
  <si>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</si>
  <si>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</si>
  <si>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</si>
  <si>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</si>
  <si>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</si>
  <si>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</si>
  <si>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</si>
  <si>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</si>
  <si>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</si>
  <si>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</si>
  <si>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</si>
  <si>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</si>
  <si>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</si>
  <si>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</si>
  <si>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</si>
  <si>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</si>
  <si>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</si>
  <si>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</si>
  <si>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</si>
  <si>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</si>
  <si>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</si>
  <si>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</si>
  <si>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</si>
  <si>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</si>
  <si>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</si>
  <si>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</si>
  <si>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</si>
  <si>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</si>
  <si>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</si>
  <si>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</si>
  <si>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</si>
  <si>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</si>
  <si>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</si>
  <si>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</si>
  <si>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</si>
  <si>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</si>
  <si>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</si>
  <si>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</si>
  <si>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</si>
  <si>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</si>
  <si>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</si>
  <si>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</si>
  <si>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</si>
  <si>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</si>
  <si>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</si>
  <si>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</si>
  <si>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</si>
  <si>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</si>
  <si>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</si>
  <si>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</si>
  <si>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</si>
  <si>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</si>
  <si>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</si>
  <si>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</si>
  <si>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</si>
  <si>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</si>
  <si>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</si>
  <si>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</si>
  <si>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</si>
  <si>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</si>
  <si>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</si>
  <si>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</si>
  <si>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</si>
  <si>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</si>
  <si>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</si>
  <si>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</si>
  <si>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</si>
  <si>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</si>
  <si>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</si>
  <si>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</si>
  <si>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</si>
  <si>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</si>
  <si>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</si>
  <si>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</si>
  <si>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</si>
  <si>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</si>
  <si>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</si>
  <si>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</si>
  <si>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</si>
  <si>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</si>
  <si>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</si>
  <si>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</si>
  <si>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</si>
  <si>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</si>
  <si>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</si>
  <si>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</si>
  <si>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</si>
  <si>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</si>
  <si>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</si>
  <si>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</si>
  <si>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</si>
  <si>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</si>
  <si>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</si>
  <si>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</si>
  <si>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</si>
  <si>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</si>
  <si>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</si>
  <si>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</si>
  <si>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</si>
  <si>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</si>
  <si>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</si>
  <si>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</si>
  <si>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</si>
  <si>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</si>
  <si>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</si>
  <si>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</si>
  <si>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</si>
  <si>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</si>
  <si>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</si>
  <si>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</si>
  <si>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</si>
  <si>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</si>
  <si>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</si>
  <si>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</si>
  <si>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</si>
  <si>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</si>
  <si>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</si>
  <si>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</si>
  <si>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</si>
  <si>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</si>
  <si>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</si>
  <si>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</si>
  <si>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</si>
  <si>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</si>
  <si>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</si>
  <si>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</si>
  <si>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</si>
  <si>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</si>
  <si>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</si>
  <si>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</si>
  <si>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</si>
  <si>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</si>
  <si>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</si>
  <si>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</si>
  <si>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</si>
  <si>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</si>
  <si>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</si>
  <si>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</si>
  <si>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</si>
  <si>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</si>
  <si>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</si>
  <si>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</si>
  <si>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</si>
  <si>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</si>
  <si>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</si>
  <si>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</si>
  <si>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</si>
  <si>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</si>
  <si>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</si>
  <si>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</si>
  <si>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</si>
  <si>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</si>
  <si>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</si>
  <si>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</si>
  <si>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</si>
  <si>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</si>
  <si>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</si>
  <si>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</si>
  <si>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</si>
  <si>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</si>
  <si>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</si>
  <si>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</si>
  <si>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</si>
  <si>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</si>
  <si>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</si>
  <si>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</si>
  <si>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</si>
  <si>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</si>
  <si>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</si>
  <si>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</si>
  <si>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</si>
  <si>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</si>
  <si>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</si>
  <si>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</si>
  <si>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</si>
  <si>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</si>
  <si>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</si>
  <si>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</si>
  <si>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</si>
  <si>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</si>
  <si>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</si>
  <si>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</si>
  <si>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</si>
  <si>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</si>
  <si>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</si>
  <si>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</si>
  <si>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</si>
  <si>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</si>
  <si>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</si>
  <si>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</si>
  <si>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</si>
  <si>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</si>
  <si>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</si>
  <si>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</si>
  <si>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</si>
  <si>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</si>
  <si>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</si>
  <si>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</si>
  <si>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</si>
  <si>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</si>
  <si>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</si>
  <si>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</si>
  <si>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</si>
  <si>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</si>
  <si>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</si>
  <si>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</si>
  <si>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</si>
  <si>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</si>
  <si>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</si>
  <si>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</si>
  <si>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</si>
  <si>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</si>
  <si>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</si>
  <si>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</si>
  <si>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</si>
  <si>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</si>
  <si>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</si>
  <si>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</si>
  <si>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</si>
  <si>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</si>
  <si>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</si>
  <si>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</si>
  <si>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</si>
  <si>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</si>
  <si>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</si>
  <si>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</si>
  <si>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</si>
  <si>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</si>
  <si>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</si>
  <si>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</si>
  <si>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</si>
  <si>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</si>
  <si>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</si>
  <si>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</si>
  <si>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</si>
  <si>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</si>
  <si>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</si>
  <si>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</si>
  <si>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</si>
  <si>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</si>
  <si>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</si>
  <si>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</si>
  <si>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</si>
  <si>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</si>
  <si>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</si>
  <si>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</si>
  <si>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</si>
  <si>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</si>
  <si>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</si>
  <si>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</si>
  <si>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</si>
  <si>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</si>
  <si>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</si>
  <si>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</si>
  <si>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</si>
  <si>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</si>
  <si>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</si>
  <si>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</si>
  <si>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</si>
  <si>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</si>
  <si>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</si>
  <si>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</si>
  <si>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</si>
  <si>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</si>
  <si>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</si>
  <si>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</si>
  <si>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</si>
  <si>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</si>
  <si>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</si>
  <si>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</si>
  <si>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</si>
  <si>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</si>
  <si>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</si>
  <si>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</si>
  <si>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</si>
  <si>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</si>
  <si>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</si>
  <si>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</si>
  <si>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</si>
  <si>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</si>
  <si>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</si>
  <si>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</si>
  <si>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</si>
  <si>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</si>
  <si>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</si>
  <si>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</si>
  <si>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</si>
  <si>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</si>
  <si>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</si>
  <si>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</si>
  <si>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</si>
  <si>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</si>
  <si>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</si>
  <si>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</si>
  <si>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</si>
  <si>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</si>
  <si>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</si>
  <si>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</si>
  <si>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</si>
  <si>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</si>
  <si>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</si>
  <si>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</si>
  <si>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</si>
  <si>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</si>
  <si>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</si>
  <si>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</si>
  <si>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</si>
  <si>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</si>
  <si>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</si>
  <si>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</si>
  <si>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</si>
  <si>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</si>
  <si>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</si>
  <si>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</si>
  <si>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</si>
  <si>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</si>
  <si>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</si>
  <si>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</si>
  <si>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</si>
  <si>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</si>
  <si>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</si>
  <si>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</si>
  <si>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</si>
  <si>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</si>
  <si>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</si>
  <si>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</si>
  <si>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</si>
  <si>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</si>
  <si>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</si>
  <si>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</si>
  <si>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</si>
  <si>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</si>
  <si>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</si>
  <si>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</si>
  <si>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</si>
  <si>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</si>
  <si>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</si>
  <si>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</si>
  <si>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</si>
  <si>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</si>
  <si>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</si>
  <si>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</si>
  <si>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</si>
  <si>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</si>
  <si>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</si>
  <si>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</si>
  <si>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</si>
  <si>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</si>
  <si>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</si>
  <si>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</si>
  <si>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</si>
  <si>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</si>
  <si>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</si>
  <si>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</si>
  <si>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</si>
  <si>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</si>
  <si>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</si>
  <si>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</si>
  <si>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</si>
  <si>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</si>
  <si>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</si>
  <si>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</si>
  <si>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</si>
  <si>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</si>
  <si>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</si>
  <si>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</si>
  <si>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</si>
  <si>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</si>
  <si>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</si>
  <si>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</si>
  <si>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</si>
  <si>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</si>
  <si>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</si>
  <si>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</si>
  <si>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</si>
  <si>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</si>
  <si>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</si>
  <si>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</si>
  <si>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</si>
  <si>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</si>
  <si>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</si>
  <si>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</si>
  <si>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</si>
  <si>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</si>
  <si>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</si>
  <si>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</si>
  <si>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</si>
  <si>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</si>
  <si>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</si>
  <si>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</si>
  <si>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</si>
  <si>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</si>
  <si>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</si>
  <si>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</si>
  <si>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</si>
  <si>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</si>
  <si>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</si>
  <si>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</si>
  <si>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</si>
  <si>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</si>
  <si>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</si>
  <si>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</si>
  <si>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</si>
  <si>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</si>
  <si>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</si>
  <si>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</si>
  <si>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</si>
  <si>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</si>
  <si>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</si>
  <si>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</si>
  <si>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</si>
  <si>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</si>
  <si>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</si>
  <si>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</si>
  <si>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</si>
  <si>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</si>
  <si>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</si>
  <si>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</si>
  <si>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</si>
  <si>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</si>
  <si>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</si>
  <si>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</si>
  <si>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</si>
  <si>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</si>
  <si>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</si>
  <si>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</si>
  <si>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</si>
  <si>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</si>
  <si>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</si>
  <si>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</si>
  <si>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</si>
  <si>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</si>
  <si>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</si>
  <si>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</si>
  <si>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</si>
  <si>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</si>
  <si>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</si>
  <si>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</si>
  <si>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</si>
  <si>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</si>
  <si>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</si>
  <si>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</si>
  <si>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</si>
  <si>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</si>
  <si>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</si>
  <si>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</si>
  <si>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</si>
  <si>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</si>
  <si>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</si>
  <si>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</si>
  <si>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</si>
  <si>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</si>
  <si>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</si>
  <si>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</si>
  <si>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</si>
  <si>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</si>
  <si>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</si>
  <si>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</si>
  <si>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</si>
  <si>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</si>
  <si>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</si>
  <si>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</si>
  <si>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</si>
  <si>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</si>
  <si>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</si>
  <si>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</si>
  <si>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</si>
  <si>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</si>
  <si>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</si>
  <si>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</si>
  <si>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</si>
  <si>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</si>
  <si>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</si>
  <si>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</si>
  <si>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</si>
  <si>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</si>
  <si>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</si>
  <si>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</si>
  <si>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</si>
  <si>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</si>
  <si>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</si>
  <si>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</si>
  <si>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</si>
  <si>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</si>
  <si>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</si>
  <si>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</si>
  <si>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</si>
  <si>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</si>
  <si>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</si>
  <si>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</si>
  <si>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</si>
  <si>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</si>
  <si>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</si>
  <si>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</si>
  <si>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</si>
  <si>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</si>
  <si>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</si>
  <si>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</si>
  <si>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</si>
  <si>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</si>
  <si>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</si>
  <si>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</si>
  <si>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</si>
  <si>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</si>
  <si>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</si>
  <si>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</si>
  <si>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</si>
  <si>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</si>
  <si>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</si>
  <si>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</si>
  <si>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</si>
  <si>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</si>
  <si>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</si>
  <si>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</si>
  <si>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</si>
  <si>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</si>
  <si>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</si>
  <si>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</si>
  <si>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</si>
  <si>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</si>
  <si>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</si>
  <si>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</si>
  <si>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</si>
  <si>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</si>
  <si>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</si>
  <si>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</si>
  <si>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</si>
  <si>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</si>
  <si>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</si>
  <si>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</si>
  <si>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</si>
  <si>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</si>
  <si>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</si>
  <si>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</si>
  <si>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</si>
  <si>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</si>
  <si>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</si>
  <si>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</si>
  <si>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</si>
  <si>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</si>
  <si>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</si>
  <si>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</si>
  <si>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</si>
  <si>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</si>
  <si>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</si>
  <si>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</si>
  <si>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</si>
  <si>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</si>
  <si>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</si>
  <si>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</si>
  <si>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</si>
  <si>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</si>
  <si>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</si>
  <si>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</si>
  <si>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</si>
  <si>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</si>
  <si>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</si>
  <si>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</si>
  <si>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</si>
  <si>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</si>
  <si>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</si>
  <si>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</si>
  <si>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</si>
  <si>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</si>
  <si>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</si>
  <si>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</si>
  <si>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</si>
  <si>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</si>
  <si>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</si>
  <si>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</si>
  <si>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</si>
  <si>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</si>
  <si>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</si>
  <si>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</si>
  <si>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</si>
  <si>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</si>
  <si>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</si>
  <si>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</si>
  <si>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</si>
  <si>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</si>
  <si>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</si>
  <si>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</si>
  <si>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</si>
  <si>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</si>
  <si>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</si>
  <si>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</si>
  <si>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</si>
  <si>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</si>
  <si>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</si>
  <si>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</si>
  <si>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</si>
  <si>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</si>
  <si>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</si>
  <si>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</si>
  <si>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</si>
  <si>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</si>
  <si>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</si>
  <si>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</si>
  <si>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</si>
  <si>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</si>
  <si>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</si>
  <si>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</si>
  <si>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</si>
  <si>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</si>
  <si>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</si>
  <si>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</si>
  <si>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</si>
  <si>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</si>
  <si>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</si>
  <si>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</si>
  <si>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</si>
  <si>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</si>
  <si>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</si>
  <si>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</si>
  <si>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</si>
  <si>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</si>
  <si>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</si>
  <si>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</si>
  <si>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</si>
  <si>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</si>
  <si>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</si>
  <si>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</si>
  <si>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</si>
  <si>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</si>
  <si>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</si>
  <si>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</si>
  <si>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</si>
  <si>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</si>
  <si>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</si>
  <si>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</si>
  <si>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</si>
  <si>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</si>
  <si>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</si>
  <si>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</si>
  <si>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</si>
  <si>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</si>
  <si>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</si>
  <si>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</si>
  <si>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</si>
  <si>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</si>
  <si>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</si>
  <si>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</si>
  <si>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</si>
  <si>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</si>
  <si>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</si>
  <si>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</si>
  <si>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</si>
  <si>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</si>
  <si>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</si>
  <si>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</si>
  <si>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</si>
  <si>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</si>
  <si>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</si>
  <si>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</si>
  <si>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</si>
  <si>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</si>
  <si>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</si>
  <si>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</si>
  <si>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</si>
  <si>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</si>
  <si>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</si>
  <si>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</si>
  <si>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</si>
  <si>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</si>
  <si>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</si>
  <si>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</si>
  <si>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</si>
  <si>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</si>
  <si>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</si>
  <si>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</si>
  <si>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</si>
  <si>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</si>
  <si>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</si>
  <si>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</si>
  <si>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</si>
  <si>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</si>
  <si>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</si>
  <si>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</si>
  <si>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</si>
  <si>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</si>
  <si>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</si>
  <si>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</si>
  <si>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</si>
  <si>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</si>
  <si>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</si>
  <si>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</si>
  <si>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</si>
  <si>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</si>
  <si>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</si>
  <si>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</si>
  <si>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</si>
  <si>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</si>
  <si>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</si>
  <si>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</si>
  <si>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</si>
  <si>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</si>
  <si>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</si>
  <si>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</si>
  <si>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</si>
  <si>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</si>
  <si>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</si>
  <si>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</si>
  <si>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</si>
  <si>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</si>
  <si>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</si>
  <si>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</si>
  <si>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</si>
  <si>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</si>
  <si>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</si>
  <si>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</si>
  <si>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</si>
  <si>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</si>
  <si>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</si>
  <si>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</si>
  <si>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</si>
  <si>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</si>
  <si>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</si>
  <si>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</si>
  <si>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</si>
  <si>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</si>
  <si>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</si>
  <si>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</si>
  <si>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</si>
  <si>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</si>
  <si>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</si>
  <si>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</si>
  <si>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</si>
  <si>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</si>
  <si>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</si>
  <si>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</si>
  <si>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</si>
  <si>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</si>
  <si>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</si>
  <si>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</si>
  <si>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</si>
  <si>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</si>
  <si>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</si>
  <si>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</si>
  <si>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</si>
  <si>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</si>
  <si>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</si>
  <si>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</si>
  <si>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</si>
  <si>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</si>
  <si>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</si>
  <si>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</si>
  <si>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</si>
  <si>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</si>
  <si>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</si>
  <si>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</si>
  <si>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</si>
  <si>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</si>
  <si>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</si>
  <si>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</si>
  <si>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</si>
  <si>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</si>
  <si>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</si>
  <si>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</si>
  <si>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</si>
  <si>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</si>
  <si>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</si>
  <si>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</si>
  <si>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</si>
  <si>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</si>
  <si>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</si>
  <si>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</si>
  <si>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</si>
  <si>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</si>
  <si>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</si>
  <si>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</si>
  <si>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</si>
  <si>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</si>
  <si>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</si>
  <si>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</si>
  <si>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</si>
  <si>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</si>
  <si>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</si>
  <si>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</si>
  <si>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</si>
  <si>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</si>
  <si>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</si>
  <si>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</si>
  <si>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</si>
  <si>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</si>
  <si>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</si>
  <si>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</si>
  <si>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</si>
  <si>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</si>
  <si>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</si>
  <si>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</si>
  <si>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</si>
  <si>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</si>
  <si>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</si>
  <si>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</si>
  <si>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</si>
  <si>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</si>
  <si>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</si>
  <si>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</si>
  <si>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</si>
  <si>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</si>
  <si>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</si>
  <si>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</si>
  <si>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</si>
  <si>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</si>
  <si>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</si>
  <si>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</si>
  <si>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</si>
  <si>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</si>
  <si>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</si>
  <si>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</si>
  <si>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</si>
  <si>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</si>
  <si>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</si>
  <si>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</si>
  <si>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</si>
  <si>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</si>
  <si>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</si>
  <si>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</si>
  <si>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</si>
  <si>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</si>
  <si>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</si>
  <si>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</si>
  <si>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</si>
  <si>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</si>
  <si>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</si>
  <si>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</si>
  <si>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</si>
  <si>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</si>
  <si>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</si>
  <si>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</si>
  <si>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</si>
  <si>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</si>
  <si>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</si>
  <si>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</si>
  <si>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</si>
  <si>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</si>
  <si>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</si>
  <si>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</si>
  <si>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</si>
  <si>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</si>
  <si>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</si>
  <si>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</si>
  <si>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</si>
  <si>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</si>
  <si>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</si>
  <si>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</si>
  <si>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</si>
  <si>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</si>
  <si>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</si>
  <si>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</si>
  <si>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</si>
  <si>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</si>
  <si>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</si>
  <si>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</si>
  <si>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</si>
  <si>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</si>
  <si>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</si>
  <si>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</si>
  <si>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</si>
  <si>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</si>
  <si>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</si>
  <si>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</si>
  <si>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</si>
  <si>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</si>
  <si>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</si>
  <si>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</si>
  <si>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</si>
  <si>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</si>
  <si>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</si>
  <si>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</si>
  <si>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</si>
  <si>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</si>
  <si>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</si>
  <si>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</si>
  <si>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</si>
  <si>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</si>
  <si>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</si>
  <si>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</si>
  <si>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</si>
  <si>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</si>
  <si>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</si>
  <si>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</si>
  <si>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</si>
  <si>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</si>
  <si>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</si>
  <si>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</si>
  <si>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</si>
  <si>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</si>
  <si>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</si>
  <si>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</si>
  <si>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</si>
  <si>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</si>
  <si>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</si>
  <si>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</si>
  <si>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</si>
  <si>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</si>
  <si>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</si>
  <si>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</si>
  <si>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</si>
  <si>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</si>
  <si>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</si>
  <si>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</si>
  <si>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</si>
  <si>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</si>
  <si>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</si>
  <si>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</si>
  <si>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</si>
  <si>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</si>
  <si>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</si>
  <si>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</si>
  <si>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</si>
  <si>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</si>
  <si>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</si>
  <si>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</si>
  <si>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</si>
  <si>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</si>
  <si>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</si>
  <si>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</si>
  <si>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</si>
  <si>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</si>
  <si>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</si>
  <si>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</si>
  <si>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</si>
  <si>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</si>
  <si>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</si>
  <si>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</si>
  <si>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</si>
  <si>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</si>
  <si>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</si>
  <si>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</si>
  <si>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</si>
  <si>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</si>
  <si>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</si>
  <si>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</si>
  <si>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</si>
  <si>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</si>
  <si>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</si>
  <si>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</si>
  <si>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</si>
  <si>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</si>
  <si>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</si>
  <si>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</si>
  <si>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</si>
  <si>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</si>
  <si>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</si>
  <si>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</si>
  <si>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</si>
  <si>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</si>
  <si>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</si>
  <si>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</si>
  <si>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</si>
  <si>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</si>
  <si>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</si>
  <si>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</si>
  <si>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</si>
  <si>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</si>
  <si>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</si>
  <si>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</si>
  <si>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</si>
  <si>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</si>
  <si>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</si>
  <si>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</si>
  <si>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</si>
  <si>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</si>
  <si>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</si>
  <si>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</si>
  <si>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</si>
  <si>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</si>
  <si>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</si>
  <si>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</si>
  <si>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</si>
  <si>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</si>
  <si>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</si>
  <si>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</si>
  <si>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</si>
  <si>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</si>
  <si>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</si>
  <si>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</si>
  <si>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</si>
  <si>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</si>
  <si>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</si>
  <si>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</si>
  <si>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</si>
  <si>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</si>
  <si>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</si>
  <si>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</si>
  <si>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</si>
  <si>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</si>
  <si>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</si>
  <si>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</si>
  <si>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</si>
  <si>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</si>
  <si>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</si>
  <si>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</si>
  <si>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</si>
  <si>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</si>
  <si>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</si>
  <si>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</si>
  <si>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</si>
  <si>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</si>
  <si>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</si>
  <si>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</si>
  <si>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</si>
  <si>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</si>
  <si>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</si>
  <si>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</si>
  <si>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</si>
  <si>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</si>
  <si>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</si>
  <si>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</si>
  <si>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</si>
  <si>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</si>
  <si>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</si>
  <si>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</si>
  <si>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</si>
  <si>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</si>
  <si>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</si>
  <si>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</si>
  <si>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</si>
  <si>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</si>
  <si>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</si>
  <si>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</si>
  <si>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</si>
  <si>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</si>
  <si>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</si>
  <si>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</si>
  <si>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</si>
  <si>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</si>
  <si>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</si>
  <si>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</si>
  <si>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</si>
  <si>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</si>
  <si>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</si>
  <si>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</si>
  <si>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</si>
  <si>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</si>
  <si>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</si>
  <si>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</si>
  <si>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</si>
  <si>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</si>
  <si>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</si>
  <si>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</si>
  <si>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</si>
  <si>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</si>
  <si>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</si>
  <si>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</si>
  <si>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</si>
  <si>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</si>
  <si>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</si>
  <si>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</si>
  <si>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</si>
  <si>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</si>
  <si>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</si>
  <si>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</si>
  <si>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</si>
  <si>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</si>
  <si>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</si>
  <si>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</si>
  <si>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</si>
  <si>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</si>
  <si>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</si>
  <si>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</si>
  <si>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</si>
  <si>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</si>
  <si>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</si>
  <si>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</si>
  <si>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</si>
  <si>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</si>
  <si>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</si>
  <si>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</si>
  <si>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</si>
  <si>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</si>
  <si>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</si>
  <si>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</si>
  <si>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</si>
  <si>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</si>
  <si>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</si>
  <si>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</si>
  <si>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</si>
  <si>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</si>
  <si>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</si>
  <si>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</si>
  <si>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</si>
  <si>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</si>
  <si>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</si>
  <si>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</si>
  <si>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</si>
  <si>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</si>
  <si>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</si>
  <si>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</si>
  <si>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</si>
  <si>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</si>
  <si>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</si>
  <si>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</si>
  <si>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</si>
  <si>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</si>
  <si>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</si>
  <si>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</si>
  <si>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</si>
  <si>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</si>
  <si>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</si>
  <si>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</si>
  <si>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</si>
  <si>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</si>
  <si>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</si>
  <si>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</si>
  <si>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</si>
  <si>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</si>
  <si>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</si>
  <si>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</si>
  <si>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</si>
  <si>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</si>
  <si>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</si>
  <si>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</si>
  <si>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</si>
  <si>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</si>
  <si>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</si>
  <si>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</si>
  <si>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</si>
  <si>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</si>
  <si>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</si>
  <si>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</si>
  <si>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</si>
  <si>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</si>
  <si>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</si>
  <si>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</si>
  <si>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</si>
  <si>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</si>
  <si>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</si>
  <si>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</si>
  <si>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</si>
  <si>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</si>
  <si>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</si>
  <si>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</si>
  <si>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</si>
  <si>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</si>
  <si>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</si>
  <si>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</si>
  <si>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</si>
  <si>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</si>
  <si>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</si>
  <si>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</si>
  <si>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</si>
  <si>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</si>
  <si>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</si>
  <si>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</si>
  <si>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</si>
  <si>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</si>
  <si>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</si>
  <si>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</si>
  <si>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</si>
  <si>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</si>
  <si>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</si>
  <si>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</si>
  <si>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</si>
  <si>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</si>
  <si>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</si>
  <si>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</si>
  <si>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</si>
  <si>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</si>
  <si>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</si>
  <si>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</si>
  <si>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</si>
  <si>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</si>
  <si>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</si>
  <si>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</si>
  <si>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</si>
  <si>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</si>
  <si>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</si>
  <si>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</si>
  <si>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</si>
  <si>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</si>
  <si>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</si>
  <si>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</si>
  <si>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</si>
  <si>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</si>
  <si>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</si>
  <si>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</si>
  <si>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</si>
  <si>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</si>
  <si>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</si>
  <si>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</si>
  <si>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</si>
  <si>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</si>
  <si>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</si>
  <si>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</si>
  <si>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</si>
  <si>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</si>
  <si>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</si>
  <si>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</si>
  <si>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</si>
  <si>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</si>
  <si>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</si>
  <si>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</si>
  <si>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</si>
  <si>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</si>
  <si>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</si>
  <si>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</si>
  <si>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</si>
  <si>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</si>
  <si>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</si>
  <si>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</si>
  <si>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</si>
  <si>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</si>
  <si>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</si>
  <si>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</si>
  <si>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</si>
  <si>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</si>
  <si>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</si>
  <si>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</si>
  <si>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</si>
  <si>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</si>
  <si>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</si>
  <si>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</si>
  <si>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</si>
  <si>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</si>
  <si>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</si>
  <si>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</si>
  <si>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</si>
  <si>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</si>
  <si>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</si>
  <si>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</si>
  <si>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</si>
  <si>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</si>
  <si>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</si>
  <si>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</si>
  <si>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</si>
  <si>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</si>
  <si>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</si>
  <si>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</si>
  <si>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</si>
  <si>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</si>
  <si>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</si>
  <si>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</si>
  <si>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</si>
  <si>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</si>
  <si>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</si>
  <si>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</si>
  <si>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</si>
  <si>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</si>
  <si>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</si>
  <si>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</si>
  <si>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</si>
  <si>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</si>
  <si>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</si>
  <si>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</si>
  <si>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</si>
  <si>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</si>
  <si>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</si>
  <si>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</si>
  <si>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</si>
  <si>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</si>
  <si>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</si>
  <si>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</si>
  <si>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</si>
  <si>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</si>
  <si>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</si>
  <si>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</si>
  <si>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</si>
  <si>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</si>
  <si>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</si>
  <si>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</si>
  <si>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</si>
  <si>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</si>
  <si>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</si>
  <si>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</si>
  <si>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</si>
  <si>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</si>
  <si>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</si>
  <si>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</si>
  <si>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</si>
  <si>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</si>
  <si>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</si>
  <si>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</si>
  <si>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</si>
  <si>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</si>
  <si>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</si>
  <si>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</si>
  <si>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</si>
  <si>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</si>
  <si>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</si>
  <si>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</si>
  <si>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</si>
  <si>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</si>
  <si>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</si>
  <si>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</si>
  <si>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</si>
  <si>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</si>
  <si>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</si>
  <si>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</si>
  <si>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</si>
  <si>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</si>
  <si>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</si>
  <si>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</si>
  <si>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</si>
  <si>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</si>
  <si>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</si>
  <si>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</si>
  <si>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</si>
  <si>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</si>
  <si>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</si>
  <si>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</si>
  <si>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</si>
  <si>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</si>
  <si>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</si>
  <si>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</si>
  <si>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</si>
  <si>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</si>
  <si>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</si>
  <si>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</si>
  <si>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</si>
  <si>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</si>
  <si>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</si>
  <si>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</si>
  <si>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</si>
  <si>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</si>
  <si>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</si>
  <si>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</si>
  <si>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</si>
  <si>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</si>
  <si>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</si>
  <si>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</si>
  <si>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</si>
  <si>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</si>
  <si>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</si>
  <si>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</si>
  <si>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</si>
  <si>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</si>
  <si>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</si>
  <si>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</si>
  <si>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</si>
  <si>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</si>
  <si>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</si>
  <si>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</si>
  <si>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</si>
  <si>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</si>
  <si>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</si>
  <si>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</si>
  <si>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</si>
  <si>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</si>
  <si>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</si>
  <si>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</si>
  <si>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</si>
  <si>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</si>
  <si>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</si>
  <si>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</si>
  <si>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</si>
  <si>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</si>
  <si>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</si>
  <si>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</si>
  <si>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</si>
  <si>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</si>
  <si>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</si>
  <si>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</si>
  <si>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</si>
  <si>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</si>
  <si>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</si>
  <si>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</si>
  <si>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</si>
  <si>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</si>
  <si>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</si>
  <si>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</si>
  <si>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</si>
  <si>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</si>
  <si>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</si>
  <si>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</si>
  <si>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</si>
  <si>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</si>
  <si>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</si>
  <si>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</si>
  <si>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</si>
  <si>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</si>
  <si>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</si>
  <si>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</si>
  <si>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</si>
  <si>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</si>
  <si>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</si>
  <si>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</si>
  <si>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</si>
  <si>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</si>
  <si>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</si>
  <si>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</si>
  <si>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</si>
  <si>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</si>
  <si>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</si>
  <si>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</si>
  <si>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</si>
  <si>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</si>
  <si>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</si>
  <si>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</si>
  <si>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</si>
  <si>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</si>
  <si>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</si>
  <si>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</si>
  <si>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</si>
  <si>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</si>
  <si>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</si>
  <si>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</si>
  <si>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</si>
  <si>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</si>
  <si>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</si>
  <si>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</si>
  <si>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</si>
  <si>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</si>
  <si>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</si>
  <si>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</si>
  <si>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</si>
  <si>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</si>
  <si>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</si>
  <si>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</si>
  <si>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</si>
  <si>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</si>
  <si>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</si>
  <si>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</si>
  <si>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</si>
  <si>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</si>
  <si>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</si>
  <si>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</si>
  <si>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</si>
  <si>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</si>
  <si>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</si>
  <si>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</si>
  <si>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</si>
  <si>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</si>
  <si>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</si>
  <si>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</si>
  <si>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</si>
  <si>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</si>
  <si>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</si>
  <si>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</si>
  <si>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</si>
  <si>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</si>
  <si>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</si>
  <si>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</si>
  <si>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</si>
  <si>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</si>
  <si>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</si>
  <si>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</si>
  <si>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</si>
  <si>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</si>
  <si>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</si>
  <si>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</si>
  <si>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</si>
  <si>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</si>
  <si>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</si>
  <si>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</si>
  <si>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</si>
  <si>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</si>
  <si>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</si>
  <si>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</si>
  <si>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</si>
  <si>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</si>
  <si>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</si>
  <si>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</si>
  <si>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</si>
  <si>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</si>
  <si>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</si>
  <si>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</si>
  <si>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</si>
  <si>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</si>
  <si>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</si>
  <si>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</si>
  <si>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</si>
  <si>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</si>
  <si>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</si>
  <si>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</si>
  <si>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</si>
  <si>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</si>
  <si>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</si>
  <si>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</si>
  <si>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</si>
  <si>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</si>
  <si>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</si>
  <si>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</si>
  <si>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</si>
  <si>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</si>
  <si>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</si>
  <si>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</si>
  <si>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</si>
  <si>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</si>
  <si>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</si>
  <si>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</si>
  <si>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</si>
  <si>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</si>
  <si>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</si>
  <si>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</si>
  <si>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</si>
  <si>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</si>
  <si>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</si>
  <si>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</si>
  <si>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</si>
  <si>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</si>
  <si>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</si>
  <si>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</si>
  <si>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</si>
  <si>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</si>
  <si>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</si>
  <si>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</si>
  <si>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</si>
  <si>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</si>
  <si>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</si>
  <si>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</si>
  <si>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</si>
  <si>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</si>
  <si>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</si>
  <si>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</si>
  <si>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</si>
  <si>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</si>
  <si>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</si>
  <si>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</si>
  <si>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</si>
  <si>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</si>
  <si>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</si>
  <si>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</si>
  <si>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</si>
  <si>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</si>
  <si>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</si>
  <si>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</si>
  <si>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</si>
  <si>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</si>
  <si>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</si>
  <si>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</si>
  <si>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</si>
  <si>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</si>
  <si>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</si>
  <si>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</si>
  <si>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</si>
  <si>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</si>
  <si>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</si>
  <si>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</si>
  <si>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</si>
  <si>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</si>
  <si>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</si>
  <si>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</si>
  <si>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</si>
  <si>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</si>
  <si>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</si>
  <si>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</si>
  <si>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</si>
  <si>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</si>
  <si>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</si>
  <si>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</si>
  <si>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</si>
  <si>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</si>
  <si>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</si>
  <si>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</si>
  <si>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</si>
  <si>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</si>
  <si>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</si>
  <si>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</si>
  <si>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</si>
  <si>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</si>
  <si>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</si>
  <si>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</si>
  <si>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</si>
  <si>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</si>
  <si>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</si>
  <si>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</si>
  <si>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</si>
  <si>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</si>
  <si>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</si>
  <si>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</si>
  <si>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</si>
  <si>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</si>
  <si>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</si>
  <si>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</si>
  <si>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</si>
  <si>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</si>
  <si>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</si>
  <si>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</si>
  <si>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</si>
  <si>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</si>
  <si>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</si>
  <si>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</si>
  <si>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</si>
  <si>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</si>
  <si>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</si>
  <si>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</si>
  <si>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</si>
  <si>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</si>
  <si>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</si>
  <si>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</si>
  <si>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</si>
  <si>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</si>
  <si>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</si>
  <si>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</si>
  <si>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</si>
  <si>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</si>
  <si>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</si>
  <si>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</si>
  <si>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</si>
  <si>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</si>
  <si>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</si>
  <si>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</si>
  <si>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</si>
  <si>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</si>
  <si>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</si>
  <si>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</si>
  <si>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</si>
  <si>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</si>
  <si>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</si>
  <si>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</si>
  <si>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</si>
  <si>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</si>
  <si>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</si>
  <si>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</si>
  <si>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</si>
  <si>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</si>
  <si>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</si>
  <si>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</si>
  <si>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</si>
  <si>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</si>
  <si>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</si>
  <si>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</si>
  <si>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</si>
  <si>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</si>
  <si>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</si>
  <si>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</si>
  <si>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</si>
  <si>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</si>
  <si>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</si>
  <si>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</si>
  <si>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</si>
  <si>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</si>
  <si>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</si>
  <si>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</si>
  <si>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</si>
  <si>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</si>
  <si>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</si>
  <si>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</si>
  <si>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</si>
  <si>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</si>
  <si>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</si>
  <si>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</si>
  <si>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</si>
  <si>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</si>
  <si>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</si>
  <si>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</si>
  <si>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</si>
  <si>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</si>
  <si>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</si>
  <si>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</si>
  <si>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</si>
  <si>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</si>
  <si>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</si>
  <si>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</si>
  <si>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</si>
  <si>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</si>
  <si>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</si>
  <si>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</si>
  <si>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</si>
  <si>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</si>
  <si>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</si>
  <si>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</si>
  <si>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</si>
  <si>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</si>
  <si>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</si>
  <si>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</si>
  <si>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</si>
  <si>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</si>
  <si>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</si>
  <si>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</si>
  <si>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</si>
  <si>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</si>
  <si>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</si>
  <si>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</si>
  <si>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</si>
  <si>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</si>
  <si>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</si>
  <si>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</si>
  <si>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</si>
  <si>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</si>
  <si>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</si>
  <si>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</si>
  <si>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</si>
  <si>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</si>
  <si>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</si>
  <si>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</si>
  <si>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</si>
  <si>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</si>
  <si>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</si>
  <si>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</si>
  <si>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</si>
  <si>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</si>
  <si>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</si>
  <si>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</si>
  <si>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</si>
  <si>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</si>
  <si>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</si>
  <si>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</si>
  <si>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</si>
  <si>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</si>
  <si>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</si>
  <si>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</si>
  <si>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</si>
  <si>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</si>
  <si>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</si>
  <si>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</si>
  <si>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</si>
  <si>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</si>
  <si>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</si>
  <si>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</si>
  <si>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</si>
  <si>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</si>
  <si>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</si>
  <si>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</si>
  <si>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</si>
  <si>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</si>
  <si>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</si>
  <si>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</si>
  <si>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</si>
  <si>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</si>
  <si>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</si>
  <si>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</si>
  <si>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</si>
  <si>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</si>
  <si>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</si>
  <si>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</si>
  <si>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</si>
  <si>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</si>
  <si>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</si>
  <si>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</si>
  <si>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</si>
  <si>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</si>
  <si>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</si>
  <si>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</si>
  <si>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</si>
  <si>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</si>
  <si>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</si>
  <si>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</si>
  <si>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</si>
  <si>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</si>
  <si>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</si>
  <si>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</si>
  <si>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</si>
  <si>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</si>
  <si>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</si>
  <si>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</si>
  <si>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</si>
  <si>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</si>
  <si>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</si>
  <si>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</si>
  <si>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</si>
  <si>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</si>
  <si>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</si>
  <si>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</si>
  <si>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</si>
  <si>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</si>
  <si>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</si>
  <si>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</si>
  <si>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</si>
  <si>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</si>
  <si>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</si>
  <si>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</si>
  <si>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</si>
  <si>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</si>
  <si>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</si>
  <si>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</si>
  <si>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</si>
  <si>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</si>
  <si>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</si>
  <si>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</si>
  <si>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</si>
  <si>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</si>
  <si>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</si>
  <si>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</si>
  <si>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</si>
  <si>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</si>
  <si>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</si>
  <si>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</si>
  <si>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</si>
  <si>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</si>
  <si>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</si>
  <si>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</si>
  <si>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</si>
  <si>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</si>
  <si>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</si>
  <si>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</si>
  <si>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</si>
  <si>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</si>
  <si>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</si>
  <si>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</si>
  <si>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</si>
  <si>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</si>
  <si>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</si>
  <si>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</si>
  <si>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</si>
  <si>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</si>
  <si>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</si>
  <si>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</si>
  <si>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</si>
  <si>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</si>
  <si>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</si>
  <si>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</si>
  <si>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</si>
  <si>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</si>
  <si>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</si>
  <si>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</si>
  <si>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</si>
  <si>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</si>
  <si>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</si>
  <si>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</si>
  <si>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</si>
  <si>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</si>
  <si>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</si>
  <si>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</si>
  <si>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</si>
  <si>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</si>
  <si>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</si>
  <si>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</si>
  <si>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</si>
  <si>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</si>
  <si>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</si>
  <si>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</si>
  <si>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</si>
  <si>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</si>
  <si>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</si>
  <si>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</si>
  <si>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</si>
  <si>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</si>
  <si>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</si>
  <si>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</si>
  <si>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</si>
  <si>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</si>
  <si>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</si>
  <si>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</si>
  <si>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</si>
  <si>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</si>
  <si>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</si>
  <si>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</si>
  <si>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</si>
  <si>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</si>
  <si>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</si>
  <si>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</si>
  <si>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</si>
  <si>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</si>
  <si>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</si>
  <si>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</si>
  <si>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</si>
  <si>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</si>
  <si>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</si>
  <si>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</si>
  <si>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</si>
  <si>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</si>
  <si>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</si>
  <si>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</si>
  <si>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</si>
  <si>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</si>
  <si>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</si>
  <si>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</si>
  <si>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</si>
  <si>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</si>
  <si>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</si>
  <si>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</si>
  <si>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</si>
  <si>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</si>
  <si>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</si>
  <si>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</si>
  <si>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</si>
  <si>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</si>
  <si>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</si>
  <si>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</si>
  <si>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</si>
  <si>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</si>
  <si>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</si>
  <si>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</si>
  <si>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</si>
  <si>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</si>
  <si>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</si>
  <si>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</si>
  <si>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</si>
  <si>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</si>
  <si>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</si>
  <si>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</si>
  <si>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</si>
  <si>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</si>
  <si>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</si>
  <si>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</si>
  <si>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</si>
  <si>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</si>
  <si>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</si>
  <si>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</si>
  <si>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</si>
  <si>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</si>
  <si>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</si>
  <si>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</si>
  <si>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</si>
  <si>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</si>
  <si>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</si>
  <si>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</si>
  <si>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</si>
  <si>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</si>
  <si>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</si>
  <si>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</si>
  <si>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</si>
  <si>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</si>
  <si>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</si>
  <si>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</si>
  <si>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</si>
  <si>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</si>
  <si>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</si>
  <si>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</si>
  <si>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</si>
  <si>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</si>
  <si>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</si>
  <si>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</si>
  <si>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</si>
  <si>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</si>
  <si>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</si>
  <si>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</si>
  <si>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</si>
  <si>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</si>
  <si>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</si>
  <si>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</si>
  <si>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</si>
  <si>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</si>
  <si>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</si>
  <si>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</si>
  <si>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</si>
  <si>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</si>
  <si>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</si>
  <si>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</si>
  <si>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</si>
  <si>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</si>
  <si>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</si>
  <si>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</si>
  <si>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</si>
  <si>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</si>
  <si>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</si>
  <si>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</si>
  <si>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</si>
  <si>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</si>
  <si>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</si>
  <si>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</si>
  <si>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</si>
  <si>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</si>
  <si>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</si>
  <si>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</si>
  <si>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</si>
  <si>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</si>
  <si>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</si>
  <si>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</si>
  <si>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</si>
  <si>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</si>
  <si>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</si>
  <si>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</si>
  <si>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</si>
  <si>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</si>
  <si>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</si>
  <si>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</si>
  <si>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</si>
  <si>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</si>
  <si>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</si>
  <si>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</si>
  <si>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</si>
  <si>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</si>
  <si>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</si>
  <si>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</si>
  <si>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</si>
  <si>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</si>
  <si>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</si>
  <si>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</si>
  <si>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</si>
  <si>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</si>
  <si>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</si>
  <si>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</si>
  <si>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</si>
  <si>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</si>
  <si>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</si>
  <si>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</si>
  <si>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</si>
  <si>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</si>
  <si>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</si>
  <si>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</si>
  <si>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</si>
  <si>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</si>
  <si>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</si>
  <si>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</si>
  <si>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</si>
  <si>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</si>
  <si>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</si>
  <si>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</si>
  <si>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</si>
  <si>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</si>
  <si>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</si>
  <si>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</si>
  <si>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</si>
  <si>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</si>
  <si>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</si>
  <si>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</si>
  <si>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</si>
  <si>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</si>
  <si>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</si>
  <si>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</si>
  <si>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</si>
  <si>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</si>
  <si>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</si>
  <si>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</si>
  <si>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</si>
  <si>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</si>
  <si>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</si>
  <si>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</si>
  <si>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</si>
  <si>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</si>
  <si>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</si>
  <si>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</si>
  <si>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</si>
  <si>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</si>
  <si>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</si>
  <si>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</si>
  <si>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</si>
  <si>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</si>
  <si>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</si>
  <si>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</si>
  <si>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</si>
  <si>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</si>
  <si>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</si>
  <si>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</si>
  <si>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</si>
  <si>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</si>
  <si>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</si>
  <si>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</si>
  <si>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</si>
  <si>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</si>
  <si>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</si>
  <si>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</si>
  <si>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</si>
  <si>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</si>
  <si>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</si>
  <si>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</si>
  <si>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</si>
  <si>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</si>
  <si>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</si>
  <si>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</si>
  <si>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</si>
  <si>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</si>
  <si>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</si>
  <si>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</si>
  <si>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</si>
  <si>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</si>
  <si>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</si>
  <si>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</si>
  <si>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</si>
  <si>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</si>
  <si>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</si>
  <si>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</si>
  <si>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</si>
  <si>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</si>
  <si>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</si>
  <si>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</si>
  <si>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</si>
  <si>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</si>
  <si>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</si>
  <si>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</si>
  <si>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</si>
  <si>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</si>
  <si>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</si>
  <si>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</si>
  <si>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</si>
  <si>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</si>
  <si>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</si>
  <si>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</si>
  <si>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</si>
  <si>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</si>
  <si>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</si>
  <si>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</si>
  <si>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</si>
  <si>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</si>
  <si>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</si>
  <si>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</si>
  <si>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</si>
  <si>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</si>
  <si>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</si>
  <si>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</si>
  <si>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</si>
  <si>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</si>
  <si>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</si>
  <si>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</si>
  <si>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</si>
  <si>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</si>
  <si>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</si>
  <si>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</si>
  <si>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</si>
  <si>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</si>
  <si>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</si>
  <si>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</si>
  <si>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</si>
  <si>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</si>
  <si>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</si>
  <si>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</si>
  <si>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</si>
  <si>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</si>
  <si>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</si>
  <si>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</si>
  <si>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</si>
  <si>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</si>
  <si>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</si>
  <si>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</si>
  <si>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</si>
  <si>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</si>
  <si>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</si>
  <si>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</si>
  <si>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</si>
  <si>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</si>
  <si>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</si>
  <si>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</si>
  <si>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</si>
  <si>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</si>
  <si>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</si>
  <si>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</si>
  <si>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</si>
  <si>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</si>
  <si>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</si>
  <si>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</si>
  <si>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</si>
  <si>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</si>
  <si>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</si>
  <si>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</si>
  <si>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</si>
  <si>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</si>
  <si>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</si>
  <si>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</si>
  <si>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</si>
  <si>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</si>
  <si>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</si>
  <si>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</si>
  <si>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</si>
  <si>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</si>
  <si>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</si>
  <si>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</si>
  <si>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</si>
  <si>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</si>
  <si>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</si>
  <si>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</si>
  <si>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</si>
  <si>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</si>
  <si>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</si>
  <si>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</si>
  <si>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</si>
  <si>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</si>
  <si>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</si>
  <si>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</si>
  <si>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</si>
  <si>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</si>
  <si>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</si>
  <si>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</si>
  <si>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</si>
  <si>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</si>
  <si>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</si>
  <si>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</si>
  <si>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</si>
  <si>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</si>
  <si>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</si>
  <si>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</si>
  <si>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</si>
  <si>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</si>
  <si>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</si>
  <si>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</si>
  <si>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</si>
  <si>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</si>
  <si>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</si>
  <si>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</si>
  <si>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</si>
  <si>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</si>
  <si>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</si>
  <si>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</si>
  <si>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</si>
  <si>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</si>
  <si>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</si>
  <si>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</si>
  <si>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</si>
  <si>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</si>
  <si>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</si>
  <si>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</si>
  <si>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</si>
  <si>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</si>
  <si>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</si>
  <si>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</si>
  <si>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</si>
  <si>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</si>
  <si>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</si>
  <si>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</si>
  <si>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</si>
  <si>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</si>
  <si>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</si>
  <si>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</si>
  <si>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</si>
  <si>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</si>
  <si>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</si>
  <si>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</si>
  <si>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</si>
  <si>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</si>
  <si>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</si>
  <si>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</si>
  <si>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</si>
  <si>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</si>
  <si>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</si>
  <si>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</si>
  <si>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</si>
  <si>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</si>
  <si>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</si>
  <si>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</si>
  <si>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</si>
  <si>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</si>
  <si>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</si>
  <si>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</si>
  <si>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</si>
  <si>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</si>
  <si>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</si>
  <si>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</si>
  <si>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</si>
  <si>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</si>
  <si>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</si>
  <si>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</si>
  <si>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</si>
  <si>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</si>
  <si>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</si>
  <si>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</si>
  <si>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</si>
  <si>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</si>
  <si>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</si>
  <si>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</si>
  <si>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</si>
  <si>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</si>
  <si>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</si>
  <si>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</si>
  <si>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</si>
  <si>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</si>
  <si>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</si>
  <si>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</si>
  <si>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</si>
  <si>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</si>
  <si>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</si>
  <si>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</si>
  <si>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</si>
  <si>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</si>
  <si>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</si>
  <si>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</si>
  <si>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</si>
  <si>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</si>
  <si>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</si>
  <si>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</si>
  <si>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</si>
  <si>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</si>
  <si>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</si>
  <si>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</si>
  <si>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</si>
  <si>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</si>
  <si>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</si>
  <si>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</si>
  <si>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</si>
  <si>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</si>
  <si>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</si>
  <si>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</si>
  <si>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</si>
  <si>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</si>
  <si>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</si>
  <si>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</si>
  <si>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</si>
  <si>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</si>
  <si>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</si>
  <si>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</si>
  <si>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</si>
  <si>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</si>
  <si>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</si>
  <si>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</si>
  <si>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</si>
  <si>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</si>
  <si>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</si>
  <si>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</si>
  <si>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</si>
  <si>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</si>
  <si>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</si>
  <si>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</si>
  <si>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</si>
  <si>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</si>
  <si>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</si>
  <si>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</si>
  <si>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</si>
  <si>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</si>
  <si>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</si>
  <si>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</si>
  <si>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</si>
  <si>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</si>
  <si>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</si>
  <si>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</si>
  <si>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</si>
  <si>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</si>
  <si>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</si>
  <si>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</si>
  <si>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</si>
  <si>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</si>
  <si>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</si>
  <si>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</si>
  <si>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</si>
  <si>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</si>
  <si>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</si>
  <si>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</si>
  <si>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</si>
  <si>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</si>
  <si>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</si>
  <si>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</si>
  <si>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</si>
  <si>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</si>
  <si>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</si>
  <si>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</si>
  <si>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</si>
  <si>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</si>
  <si>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</si>
  <si>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</si>
  <si>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</si>
  <si>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</si>
  <si>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</si>
  <si>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</si>
  <si>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</si>
  <si>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</si>
  <si>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</si>
  <si>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</si>
  <si>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</si>
  <si>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</si>
  <si>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</si>
  <si>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</si>
  <si>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</si>
  <si>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</si>
  <si>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</si>
  <si>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</si>
  <si>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</si>
  <si>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</si>
  <si>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</si>
  <si>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</si>
  <si>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</si>
  <si>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</si>
  <si>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</si>
  <si>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</si>
  <si>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</si>
  <si>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</si>
  <si>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</si>
  <si>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</si>
  <si>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</si>
  <si>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</si>
  <si>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</si>
  <si>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</si>
  <si>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</si>
  <si>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</si>
  <si>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</si>
  <si>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</si>
  <si>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</si>
  <si>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</si>
  <si>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</si>
  <si>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</si>
  <si>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</si>
  <si>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</si>
  <si>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</si>
  <si>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</si>
  <si>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</si>
  <si>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</si>
  <si>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</si>
  <si>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</si>
  <si>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</si>
  <si>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</si>
  <si>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</si>
  <si>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</si>
  <si>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</si>
  <si>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</si>
  <si>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</si>
  <si>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</si>
  <si>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</si>
  <si>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</si>
  <si>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</si>
  <si>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</si>
  <si>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</si>
  <si>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</si>
  <si>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</si>
  <si>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</si>
  <si>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</si>
  <si>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</si>
  <si>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</si>
  <si>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</si>
  <si>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</si>
  <si>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</si>
  <si>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</si>
  <si>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</si>
  <si>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</si>
  <si>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</si>
  <si>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</si>
  <si>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</si>
  <si>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</si>
  <si>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</si>
  <si>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</si>
  <si>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</si>
  <si>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</si>
  <si>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</si>
  <si>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</si>
  <si>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</si>
  <si>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</si>
  <si>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</si>
  <si>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</si>
  <si>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</si>
  <si>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</si>
  <si>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</si>
  <si>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</si>
  <si>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</si>
  <si>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</si>
  <si>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</si>
  <si>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</si>
  <si>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</si>
  <si>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</si>
  <si>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</si>
  <si>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</si>
  <si>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</si>
  <si>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</si>
  <si>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</si>
  <si>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</si>
  <si>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</si>
  <si>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</si>
  <si>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</si>
  <si>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</si>
  <si>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</si>
  <si>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</si>
  <si>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</si>
  <si>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</si>
  <si>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</si>
  <si>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</si>
  <si>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</si>
  <si>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</si>
  <si>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</si>
  <si>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</si>
  <si>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</si>
  <si>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</si>
  <si>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</si>
  <si>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</si>
  <si>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</si>
  <si>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</si>
  <si>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</si>
  <si>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</si>
  <si>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</si>
  <si>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</si>
  <si>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</si>
  <si>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</si>
  <si>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</si>
  <si>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</si>
  <si>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</si>
  <si>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</si>
  <si>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</si>
  <si>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</si>
  <si>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</si>
  <si>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</si>
  <si>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</si>
  <si>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</si>
  <si>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</si>
  <si>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</si>
  <si>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</si>
  <si>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</si>
  <si>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</si>
  <si>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</si>
  <si>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</si>
  <si>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</si>
  <si>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</si>
  <si>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</si>
  <si>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</si>
  <si>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</si>
  <si>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</si>
  <si>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</si>
  <si>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</si>
  <si>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</si>
  <si>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</si>
  <si>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</si>
  <si>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</si>
  <si>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</si>
  <si>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</si>
  <si>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</si>
  <si>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</si>
  <si>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</si>
  <si>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</si>
  <si>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</si>
  <si>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</si>
  <si>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</si>
  <si>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</si>
  <si>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</si>
  <si>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</si>
  <si>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</si>
  <si>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</si>
  <si>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</si>
  <si>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</si>
  <si>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</si>
  <si>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</si>
  <si>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</si>
  <si>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</si>
  <si>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</si>
  <si>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</si>
  <si>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</si>
  <si>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</si>
  <si>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</si>
  <si>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</si>
  <si>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</si>
  <si>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</si>
  <si>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</si>
  <si>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</si>
  <si>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</si>
  <si>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</si>
  <si>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</si>
  <si>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</si>
  <si>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</si>
  <si>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</si>
  <si>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</si>
  <si>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</si>
  <si>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</si>
  <si>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</si>
  <si>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</si>
  <si>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</si>
  <si>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</si>
  <si>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</si>
  <si>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</si>
  <si>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</si>
  <si>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</si>
  <si>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</si>
  <si>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</si>
  <si>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</si>
  <si>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</si>
  <si>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</si>
  <si>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</si>
  <si>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</si>
  <si>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</si>
  <si>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</si>
  <si>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</si>
  <si>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</si>
  <si>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</si>
  <si>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</si>
  <si>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</si>
  <si>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</si>
  <si>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</si>
  <si>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</si>
  <si>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</si>
  <si>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</si>
  <si>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</si>
  <si>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</si>
  <si>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</si>
  <si>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</si>
  <si>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</si>
  <si>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</si>
  <si>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</si>
  <si>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</si>
  <si>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</si>
  <si>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</si>
  <si>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</si>
  <si>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</si>
  <si>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</si>
  <si>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</si>
  <si>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</si>
  <si>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</si>
  <si>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</si>
  <si>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</si>
  <si>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</si>
  <si>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</si>
  <si>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</si>
  <si>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</si>
  <si>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</si>
  <si>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</si>
  <si>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</si>
  <si>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</si>
  <si>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</si>
  <si>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</si>
  <si>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</si>
  <si>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</si>
  <si>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</si>
  <si>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</si>
  <si>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</si>
  <si>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</si>
  <si>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</si>
  <si>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</si>
  <si>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</si>
  <si>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</si>
  <si>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</si>
  <si>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</si>
  <si>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</si>
  <si>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</si>
  <si>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</si>
  <si>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</si>
  <si>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</si>
  <si>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</si>
  <si>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</si>
  <si>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</si>
  <si>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</si>
  <si>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</si>
  <si>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</si>
  <si>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</si>
  <si>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</si>
  <si>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</si>
  <si>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</si>
  <si>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</si>
  <si>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</si>
  <si>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</si>
  <si>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</si>
  <si>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</si>
  <si>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</si>
  <si>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</si>
  <si>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</si>
  <si>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</si>
  <si>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</si>
  <si>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</si>
  <si>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</si>
  <si>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</si>
  <si>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</si>
  <si>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</si>
  <si>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</si>
  <si>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</si>
  <si>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</si>
  <si>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</si>
  <si>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</si>
  <si>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</si>
  <si>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</si>
  <si>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</si>
  <si>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</si>
  <si>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</si>
  <si>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</si>
  <si>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</si>
  <si>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</si>
  <si>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</si>
  <si>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</si>
  <si>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</si>
  <si>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</si>
  <si>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</si>
  <si>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</si>
  <si>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</si>
  <si>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</si>
  <si>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</si>
  <si>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</si>
  <si>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</si>
  <si>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</si>
  <si>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</si>
  <si>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</si>
  <si>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</si>
  <si>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</si>
  <si>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</si>
  <si>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</si>
  <si>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</si>
  <si>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</si>
  <si>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</si>
  <si>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</si>
  <si>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</si>
  <si>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</si>
  <si>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</si>
  <si>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</si>
  <si>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</si>
  <si>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</si>
  <si>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</si>
  <si>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</si>
  <si>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</si>
  <si>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</si>
  <si>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</si>
  <si>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</si>
  <si>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</si>
  <si>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</si>
  <si>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</si>
  <si>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</si>
  <si>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</si>
  <si>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</si>
  <si>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</si>
  <si>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</si>
  <si>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</si>
  <si>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</si>
  <si>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</si>
  <si>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</si>
  <si>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</si>
  <si>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</si>
  <si>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</si>
  <si>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</si>
  <si>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</si>
  <si>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</si>
  <si>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</si>
  <si>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</si>
  <si>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</si>
  <si>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</si>
  <si>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</si>
  <si>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</si>
  <si>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</si>
  <si>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</si>
  <si>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</si>
  <si>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</si>
  <si>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</si>
  <si>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</si>
  <si>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</si>
  <si>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</si>
  <si>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</si>
  <si>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</si>
  <si>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</si>
  <si>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</si>
  <si>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</si>
  <si>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</si>
  <si>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</si>
  <si>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</si>
  <si>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</si>
  <si>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</si>
  <si>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</si>
  <si>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</si>
  <si>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</si>
  <si>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</si>
  <si>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</si>
  <si>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</si>
  <si>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</si>
  <si>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</si>
  <si>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</si>
  <si>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</si>
  <si>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</si>
  <si>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</si>
  <si>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</si>
  <si>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</si>
  <si>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</si>
  <si>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</si>
  <si>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</si>
  <si>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</si>
  <si>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</si>
  <si>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</si>
  <si>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</si>
  <si>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</si>
  <si>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</si>
  <si>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</si>
  <si>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</si>
  <si>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</si>
  <si>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</si>
  <si>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</si>
  <si>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</si>
  <si>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</si>
  <si>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</si>
  <si>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</si>
  <si>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</si>
  <si>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</si>
  <si>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</si>
  <si>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</si>
  <si>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</si>
  <si>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</si>
  <si>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</si>
  <si>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</si>
  <si>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</si>
  <si>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</si>
  <si>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</si>
  <si>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</si>
  <si>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</si>
  <si>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</si>
  <si>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</si>
  <si>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</si>
  <si>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</si>
  <si>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</si>
  <si>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</si>
  <si>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</si>
  <si>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</si>
  <si>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</si>
  <si>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</si>
  <si>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</si>
  <si>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</si>
  <si>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</si>
  <si>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</si>
  <si>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</si>
  <si>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</si>
  <si>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</si>
  <si>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</si>
  <si>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</si>
  <si>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</si>
  <si>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</si>
  <si>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</si>
  <si>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</si>
  <si>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</si>
  <si>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</si>
  <si>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</si>
  <si>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</si>
  <si>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</si>
  <si>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</si>
  <si>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</si>
  <si>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</si>
  <si>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</si>
  <si>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</si>
  <si>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</si>
  <si>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</si>
  <si>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</si>
  <si>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</si>
  <si>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</si>
  <si>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</si>
  <si>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</si>
  <si>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</si>
  <si>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</si>
  <si>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</si>
  <si>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</si>
  <si>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</si>
  <si>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</si>
  <si>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</si>
  <si>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</si>
  <si>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</si>
  <si>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</si>
  <si>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</si>
  <si>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</si>
  <si>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</si>
  <si>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</si>
  <si>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</si>
  <si>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</si>
  <si>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</si>
  <si>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</si>
  <si>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</si>
  <si>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</si>
  <si>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</si>
  <si>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</si>
  <si>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</si>
  <si>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</si>
  <si>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</si>
  <si>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</si>
  <si>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</si>
  <si>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</si>
  <si>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</si>
  <si>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</si>
  <si>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</si>
  <si>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</si>
  <si>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</si>
  <si>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</si>
  <si>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</si>
  <si>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</si>
  <si>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</si>
  <si>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</si>
  <si>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</si>
  <si>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</si>
  <si>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</si>
  <si>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</si>
  <si>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</si>
  <si>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</si>
  <si>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</si>
  <si>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</si>
  <si>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</si>
  <si>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</si>
  <si>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</si>
  <si>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</si>
  <si>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</si>
  <si>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</si>
  <si>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</si>
  <si>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</si>
  <si>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</si>
  <si>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</si>
  <si>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</si>
  <si>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</si>
  <si>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</si>
  <si>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</si>
  <si>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</si>
  <si>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</si>
  <si>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</si>
  <si>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</si>
  <si>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</si>
  <si>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</si>
  <si>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</si>
  <si>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</si>
  <si>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</si>
  <si>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</si>
  <si>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</si>
  <si>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</si>
  <si>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</si>
  <si>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</si>
  <si>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</si>
  <si>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</si>
  <si>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</si>
  <si>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</si>
  <si>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</si>
  <si>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</si>
  <si>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</si>
  <si>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</si>
  <si>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</si>
  <si>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</si>
  <si>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</si>
  <si>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</si>
  <si>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</si>
  <si>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</si>
  <si>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</si>
  <si>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</si>
  <si>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</si>
  <si>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</si>
  <si>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</si>
  <si>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</si>
  <si>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</si>
  <si>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</si>
  <si>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</si>
  <si>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</si>
  <si>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</si>
  <si>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</si>
  <si>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</si>
  <si>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</si>
  <si>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</si>
  <si>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</si>
  <si>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</si>
  <si>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</si>
  <si>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</si>
  <si>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</si>
  <si>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</si>
  <si>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</si>
  <si>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</si>
  <si>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</si>
  <si>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</si>
  <si>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</si>
  <si>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</si>
  <si>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</si>
  <si>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</si>
  <si>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</si>
  <si>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</si>
  <si>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</si>
  <si>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</si>
  <si>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</si>
  <si>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</si>
  <si>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</si>
  <si>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</si>
  <si>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</si>
  <si>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</si>
  <si>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</si>
  <si>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</si>
  <si>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</si>
  <si>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</si>
  <si>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</si>
  <si>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</si>
  <si>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</si>
  <si>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</si>
  <si>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</si>
  <si>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</si>
  <si>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</si>
  <si>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</si>
  <si>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</si>
  <si>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</si>
  <si>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</si>
  <si>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</si>
  <si>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</si>
  <si>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</si>
  <si>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</si>
  <si>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</si>
  <si>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</si>
  <si>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</si>
  <si>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</si>
  <si>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</si>
  <si>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</si>
  <si>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</si>
  <si>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</si>
  <si>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</si>
  <si>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</si>
  <si>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</si>
  <si>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</si>
  <si>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</si>
  <si>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</si>
  <si>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</si>
  <si>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</si>
  <si>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</si>
  <si>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</si>
  <si>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</si>
  <si>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</si>
  <si>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</si>
  <si>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</si>
  <si>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</si>
  <si>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</si>
  <si>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</si>
  <si>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</si>
  <si>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</si>
  <si>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</si>
  <si>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</si>
  <si>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</si>
  <si>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</si>
  <si>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</si>
  <si>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</si>
  <si>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</si>
  <si>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</si>
  <si>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</si>
  <si>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</si>
  <si>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</si>
  <si>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</si>
  <si>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</si>
  <si>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</si>
  <si>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</si>
  <si>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</si>
  <si>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</si>
  <si>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</si>
  <si>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</si>
  <si>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</si>
  <si>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</si>
  <si>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</si>
  <si>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</si>
  <si>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</si>
  <si>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</si>
  <si>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</si>
  <si>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</si>
  <si>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</si>
  <si>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</si>
  <si>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</si>
  <si>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</si>
  <si>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</si>
  <si>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</si>
  <si>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</si>
  <si>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</si>
  <si>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</si>
  <si>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</si>
  <si>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</si>
  <si>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</si>
  <si>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</si>
  <si>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</si>
  <si>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</si>
  <si>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</si>
  <si>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</si>
  <si>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</si>
  <si>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</si>
  <si>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</si>
  <si>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</si>
  <si>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</si>
  <si>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</si>
  <si>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</si>
  <si>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</si>
  <si>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</si>
  <si>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</si>
  <si>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</si>
  <si>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</si>
  <si>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</si>
  <si>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</si>
  <si>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</si>
  <si>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</si>
  <si>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</si>
  <si>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</si>
  <si>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</si>
  <si>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</si>
  <si>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</si>
  <si>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</si>
  <si>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</si>
  <si>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</si>
  <si>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</si>
  <si>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</si>
  <si>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</si>
  <si>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</si>
  <si>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</si>
  <si>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</si>
  <si>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</si>
  <si>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</si>
  <si>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</si>
  <si>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</si>
  <si>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</si>
  <si>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</si>
  <si>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</si>
  <si>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</si>
  <si>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</si>
  <si>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</si>
  <si>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</si>
  <si>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</si>
  <si>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</si>
  <si>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</si>
  <si>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</si>
  <si>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</si>
  <si>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</si>
  <si>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</si>
  <si>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</si>
  <si>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</si>
  <si>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</si>
  <si>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</si>
  <si>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</si>
  <si>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</si>
  <si>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</si>
  <si>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</si>
  <si>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</si>
  <si>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</si>
  <si>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</si>
  <si>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</si>
  <si>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</si>
  <si>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</si>
  <si>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</si>
  <si>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</si>
  <si>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</si>
  <si>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</si>
  <si>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</si>
  <si>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</si>
  <si>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</si>
  <si>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</si>
  <si>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</si>
  <si>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</si>
  <si>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</si>
  <si>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</si>
  <si>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</si>
  <si>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</si>
  <si>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</si>
  <si>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</si>
  <si>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</si>
  <si>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</si>
  <si>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</si>
  <si>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</si>
  <si>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</si>
  <si>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</si>
  <si>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</si>
  <si>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</si>
  <si>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</si>
  <si>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</si>
  <si>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</si>
  <si>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</si>
  <si>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</si>
  <si>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</si>
  <si>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</si>
  <si>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</si>
  <si>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</si>
  <si>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</si>
  <si>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</si>
  <si>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</si>
  <si>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</si>
  <si>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</si>
  <si>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</si>
  <si>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</si>
  <si>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</si>
  <si>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</si>
  <si>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</si>
  <si>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</si>
  <si>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</si>
  <si>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</si>
  <si>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</si>
  <si>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</si>
  <si>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</si>
  <si>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</si>
  <si>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</si>
  <si>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</si>
  <si>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</si>
  <si>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</si>
  <si>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</si>
  <si>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</si>
  <si>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</si>
  <si>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</si>
  <si>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</si>
  <si>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</si>
  <si>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</si>
  <si>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</si>
  <si>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</si>
  <si>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</si>
  <si>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</si>
  <si>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</si>
  <si>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</si>
  <si>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</si>
  <si>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</si>
  <si>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</si>
  <si>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</si>
  <si>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</si>
  <si>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</si>
  <si>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</si>
  <si>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</si>
  <si>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</si>
  <si>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</si>
  <si>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</si>
  <si>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</si>
  <si>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</si>
  <si>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</si>
  <si>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</si>
  <si>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</si>
  <si>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</si>
  <si>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</si>
  <si>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</si>
  <si>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</si>
  <si>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</si>
  <si>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</si>
  <si>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</si>
  <si>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</si>
  <si>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</si>
  <si>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</si>
  <si>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</si>
  <si>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</si>
  <si>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</si>
  <si>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</si>
  <si>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</si>
  <si>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</si>
  <si>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</si>
  <si>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</si>
  <si>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</si>
  <si>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</si>
  <si>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</si>
  <si>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</si>
  <si>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</si>
  <si>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</si>
  <si>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</si>
  <si>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</si>
  <si>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</si>
  <si>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</si>
  <si>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</si>
  <si>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</si>
  <si>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</si>
  <si>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</si>
  <si>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</si>
  <si>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</si>
  <si>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</si>
  <si>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</si>
  <si>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</si>
  <si>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</si>
  <si>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</si>
  <si>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</si>
  <si>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</si>
  <si>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</si>
  <si>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</si>
  <si>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</si>
  <si>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</si>
  <si>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</si>
  <si>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</si>
  <si>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</si>
  <si>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</si>
  <si>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</si>
  <si>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</si>
  <si>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</si>
  <si>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</si>
  <si>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</si>
  <si>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</si>
  <si>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</si>
  <si>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</si>
  <si>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</si>
  <si>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</si>
  <si>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</si>
  <si>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</si>
  <si>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</si>
  <si>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</si>
  <si>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</si>
  <si>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</si>
  <si>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</si>
  <si>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</si>
  <si>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</si>
  <si>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</si>
  <si>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</si>
  <si>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</si>
  <si>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</si>
  <si>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</si>
  <si>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</si>
  <si>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</si>
  <si>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</si>
  <si>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</si>
  <si>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</si>
  <si>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</si>
  <si>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</si>
  <si>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</si>
  <si>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</si>
  <si>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</si>
  <si>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</si>
  <si>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</si>
  <si>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</si>
  <si>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</si>
  <si>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</si>
  <si>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</si>
  <si>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</si>
  <si>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</si>
  <si>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</si>
  <si>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</si>
  <si>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</si>
  <si>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</si>
  <si>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</si>
  <si>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</si>
  <si>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</si>
  <si>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</si>
  <si>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</si>
  <si>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</si>
  <si>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</si>
  <si>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</si>
  <si>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</si>
  <si>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</si>
  <si>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</si>
  <si>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</si>
  <si>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</si>
  <si>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</si>
  <si>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</si>
  <si>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</si>
  <si>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</si>
  <si>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</si>
  <si>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</si>
  <si>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</si>
  <si>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</si>
  <si>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</si>
  <si>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</si>
  <si>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</si>
  <si>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</si>
  <si>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</si>
  <si>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</si>
  <si>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</si>
  <si>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</si>
  <si>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</si>
  <si>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</si>
  <si>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</si>
  <si>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</si>
  <si>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</si>
  <si>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</si>
  <si>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</si>
  <si>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</si>
  <si>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</si>
  <si>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</si>
  <si>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</si>
  <si>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</si>
  <si>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</si>
  <si>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</si>
  <si>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</si>
  <si>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</si>
  <si>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</si>
  <si>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</si>
  <si>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</si>
  <si>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</si>
  <si>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</si>
  <si>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</si>
  <si>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</si>
  <si>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</si>
  <si>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</si>
  <si>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</si>
  <si>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</si>
  <si>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</si>
  <si>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</si>
  <si>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</si>
  <si>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</si>
  <si>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</si>
  <si>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</si>
  <si>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</si>
  <si>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</si>
  <si>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</si>
  <si>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</si>
  <si>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</si>
  <si>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</si>
  <si>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</si>
  <si>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</si>
  <si>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</si>
  <si>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</si>
  <si>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</si>
  <si>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</si>
  <si>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</si>
  <si>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</si>
  <si>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</si>
  <si>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</si>
  <si>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</si>
  <si>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</si>
  <si>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</si>
  <si>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</si>
  <si>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</si>
  <si>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</si>
  <si>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</si>
  <si>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</si>
  <si>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</si>
  <si>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</si>
  <si>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</si>
  <si>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</si>
  <si>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</si>
  <si>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</si>
  <si>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</si>
  <si>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</si>
  <si>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</si>
  <si>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</si>
  <si>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</si>
  <si>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</si>
  <si>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</si>
  <si>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</si>
  <si>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</si>
  <si>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</si>
  <si>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</si>
  <si>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</si>
  <si>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</si>
  <si>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</si>
  <si>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</si>
  <si>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</si>
  <si>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</si>
  <si>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</si>
  <si>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</si>
  <si>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</si>
  <si>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</si>
  <si>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</si>
  <si>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</si>
  <si>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</si>
  <si>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</si>
  <si>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</si>
  <si>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</si>
  <si>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</si>
  <si>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</si>
  <si>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</si>
  <si>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</si>
  <si>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</si>
  <si>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</si>
  <si>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</si>
  <si>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</si>
  <si>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</si>
  <si>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</si>
  <si>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</si>
  <si>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</si>
  <si>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</si>
  <si>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</si>
  <si>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</si>
  <si>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</si>
  <si>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</si>
  <si>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</si>
  <si>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</si>
  <si>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</si>
  <si>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</si>
  <si>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</si>
  <si>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</si>
  <si>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</si>
  <si>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</si>
  <si>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</si>
  <si>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</si>
  <si>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</si>
  <si>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</si>
  <si>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</si>
  <si>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</si>
  <si>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</si>
  <si>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</si>
  <si>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</si>
  <si>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</si>
  <si>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</si>
  <si>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</si>
  <si>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</si>
  <si>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</si>
  <si>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</si>
  <si>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</si>
  <si>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</si>
  <si>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</si>
  <si>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</si>
  <si>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</si>
  <si>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</si>
  <si>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</si>
  <si>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</si>
  <si>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</si>
  <si>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</si>
  <si>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</si>
  <si>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</si>
  <si>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</si>
  <si>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</si>
  <si>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</si>
  <si>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</si>
  <si>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</si>
  <si>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</si>
  <si>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</si>
  <si>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</si>
  <si>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</si>
  <si>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</si>
  <si>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</si>
  <si>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</si>
  <si>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</si>
  <si>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</si>
  <si>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</si>
  <si>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</si>
  <si>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</si>
  <si>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</si>
  <si>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</si>
  <si>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</si>
  <si>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</si>
  <si>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</si>
  <si>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</si>
  <si>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</si>
  <si>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</si>
  <si>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</si>
  <si>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</si>
  <si>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</si>
  <si>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</si>
  <si>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</si>
  <si>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</si>
  <si>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</si>
  <si>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</si>
  <si>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</si>
  <si>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</si>
  <si>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</si>
  <si>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</si>
  <si>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</si>
  <si>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</si>
  <si>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</si>
  <si>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</si>
  <si>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</si>
  <si>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</si>
  <si>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</si>
  <si>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</si>
  <si>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</si>
  <si>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</si>
  <si>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</si>
  <si>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</si>
  <si>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</si>
  <si>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</si>
  <si>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</si>
  <si>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</si>
  <si>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</si>
  <si>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</si>
  <si>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</si>
  <si>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</si>
  <si>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</si>
  <si>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</si>
  <si>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</si>
  <si>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</si>
  <si>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</si>
  <si>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</si>
  <si>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</si>
  <si>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</si>
  <si>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</si>
  <si>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</si>
  <si>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</si>
  <si>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</si>
  <si>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</si>
  <si>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</si>
  <si>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</si>
  <si>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</si>
  <si>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</si>
  <si>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</si>
  <si>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</si>
  <si>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</si>
  <si>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</si>
  <si>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</si>
  <si>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</si>
  <si>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</si>
  <si>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</si>
  <si>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</si>
  <si>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</si>
  <si>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</si>
  <si>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</si>
  <si>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</si>
  <si>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</si>
  <si>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</si>
  <si>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</si>
  <si>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</si>
  <si>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</si>
  <si>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</si>
  <si>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</si>
  <si>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</si>
  <si>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Taiwan Semiconductor Co., Ltd</t>
    <phoneticPr fontId="84" type="noConversion"/>
  </si>
  <si>
    <t xml:space="preserve">11F, NO. 205, Sec. 3, Beishin RD. , Shindian City 231,Taipei County, Taiwan ,R.O.C. </t>
    <phoneticPr fontId="129"/>
  </si>
  <si>
    <t>Smile Chung</t>
    <phoneticPr fontId="129"/>
  </si>
  <si>
    <t>smile.chung@ts.com.tw</t>
    <phoneticPr fontId="129"/>
  </si>
  <si>
    <t>+886-2-8913-1588</t>
    <phoneticPr fontId="129"/>
  </si>
  <si>
    <t>Yunnan Copper lndustry Co.,Ltd</t>
  </si>
  <si>
    <t>CID000197</t>
  </si>
  <si>
    <t>M2-3, Kunming High-tech Development Zone, Yunnan Province</t>
  </si>
  <si>
    <t>Yunnan Province</t>
  </si>
  <si>
    <t>Not disclosed</t>
  </si>
  <si>
    <t>Daye Non-Ferrous Metals Mining Ltd.</t>
  </si>
  <si>
    <t>CID000343</t>
  </si>
  <si>
    <t>Huangshi</t>
  </si>
  <si>
    <t>Hu Bei</t>
  </si>
  <si>
    <t>CG34+MC3, Route de l'Aéroport, Bâtiment TFM</t>
  </si>
  <si>
    <t>info@tfm.cmoc.com</t>
  </si>
  <si>
    <t>NON</t>
  </si>
  <si>
    <t>Sumitomo Metal Mining Co., Ltd. Toyo Smelter &amp; Refinery</t>
  </si>
  <si>
    <t>Funaya-Shinchi-Otsu 145-1</t>
  </si>
  <si>
    <t>Saijo</t>
  </si>
  <si>
    <t>Ehime, Japan</t>
  </si>
  <si>
    <t>Confirmed as conformant smelter in RMI's Web-site</t>
  </si>
  <si>
    <t>JX Nippon Mining &amp; Metals Co, Ltd.</t>
  </si>
  <si>
    <t>CID003995</t>
  </si>
  <si>
    <t>JX Nippon Mining &amp; Metals Co., Ltd. Hitachi/JX日本矿业金属株式会社有限公司</t>
  </si>
  <si>
    <t>CID004147</t>
  </si>
  <si>
    <t> Chinalco Luoyang Copper Processing Co., Ltd.</t>
  </si>
  <si>
    <t>CID004157</t>
  </si>
  <si>
    <t>JINCHUAN</t>
  </si>
  <si>
    <t>KMD(Jinchuan Golden Ocean Capital Limited)</t>
  </si>
  <si>
    <t>china</t>
  </si>
  <si>
    <t>CID004158</t>
  </si>
  <si>
    <t>KMD(Henan Zhongyuan Gold Smelter Limited Liability Company)</t>
  </si>
  <si>
    <t>CID004170</t>
  </si>
  <si>
    <t>KMD(NORTH COPPER(SHANXI)CO.)</t>
  </si>
  <si>
    <t>CID004192</t>
  </si>
  <si>
    <t>Onahama</t>
  </si>
  <si>
    <t>CID004248</t>
  </si>
  <si>
    <t xml:space="preserve">Copper </t>
  </si>
  <si>
    <t>Apex Material Technologies</t>
  </si>
  <si>
    <t>USA</t>
  </si>
  <si>
    <t>CID003775</t>
  </si>
  <si>
    <t>Jinchuan Group ltd.</t>
  </si>
  <si>
    <t>CID003976</t>
  </si>
  <si>
    <t>Jien Nickel smelter</t>
  </si>
  <si>
    <t>CID004562</t>
  </si>
  <si>
    <t>https://www.taiwansemi.com/en/wp-content/uploads/2023/12/Conflict%20Minerals%20Policy_20240124_Web.pdf</t>
    <phoneticPr fontId="1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</si>
</sst>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1">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6"/>
      <name val="新細明體"/>
      <family val="3"/>
      <charset val="128"/>
      <scheme val="minor"/>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2" Type="http://schemas.openxmlformats.org/officeDocument/2006/relationships/hyperlink" Target="mailto:smile.chung@ts.com.tw" TargetMode="External"/><Relationship Id="rId1" Type="http://schemas.openxmlformats.org/officeDocument/2006/relationships/hyperlink" Target="mailto:smile.chung@ts.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46" zoomScale="70" zoomScaleNormal="70" workbookViewId="0">
      <selection activeCell="A50" sqref="A50"/>
    </sheetView>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20">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9">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0FF1552-C3D4-4931-9622-291DEFF6B8B4}"/>
    </customSheetView>
    <customSheetView guid="{4BDF1A28-30D5-449D-B20E-D6C97EF9FAE1}" showAutoFilter="1">
      <selection activeCell="C174" sqref="C174"/>
      <pageMargins left="0" right="0" top="0" bottom="0" header="0" footer="0"/>
      <pageSetup paperSize="9" orientation="portrait"/>
      <autoFilter ref="B1:N1" xr:uid="{F233E521-7E6D-4C00-B659-52408294347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8D12175-86A9-4B6C-8228-8CF7A5768AA8}"/>
    </customSheetView>
    <customSheetView guid="{4BDF1A28-30D5-449D-B20E-D6C97EF9FAE1}" showAutoFilter="1">
      <selection activeCell="C1" sqref="C1:D65536"/>
      <pageMargins left="0" right="0" top="0" bottom="0" header="0" footer="0"/>
      <pageSetup orientation="portrait"/>
      <autoFilter ref="B1:C1" xr:uid="{1B04855B-E26E-4BA8-A2F4-D9653454F67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55" zoomScaleNormal="55" workbookViewId="0">
      <selection activeCell="AD22" sqref="AD22"/>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7">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7">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24" t="s">
        <v>20052</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7">
      <c r="A20" s="31"/>
      <c r="B20" s="33" t="str">
        <f ca="1">OFFSET(L!$C$1,MATCH("Declaration"&amp;ADDRESS(ROW(),COLUMN(),4),L!$A:$A,0)-1,SL,,)</f>
        <v>Email – Contact (*):</v>
      </c>
      <c r="C20" s="67"/>
      <c r="D20" s="432" t="s">
        <v>20054</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24" t="s">
        <v>20055</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24" t="s">
        <v>20053</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24"/>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2" t="s">
        <v>20054</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35">
        <v>45777</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3">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3">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8.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03" t="s">
        <v>27</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27</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20097</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03" t="s">
        <v>22</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03" t="s">
        <v>22</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03" t="s">
        <v>22</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52759361-4081-40A1-A860-28BFA205AAA1}"/>
    <hyperlink ref="D24" r:id="rId2" xr:uid="{9272C2EC-5B6C-403A-82F0-6A3E40BE1A54}"/>
    <hyperlink ref="G117" r:id="rId3" xr:uid="{9D1680FD-A656-4D92-A7AA-B2E2AC9A189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55" zoomScaleNormal="55" workbookViewId="0">
      <pane ySplit="3" topLeftCell="A24" activePane="bottomLeft" state="frozen"/>
      <selection activeCell="B24" sqref="B24:J24"/>
      <selection pane="bottomLeft" activeCell="A27" sqref="A27"/>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40.5">
      <c r="A5" s="198" t="s">
        <v>20057</v>
      </c>
      <c r="B5" s="304" t="s">
        <v>18641</v>
      </c>
      <c r="C5" s="152" t="s">
        <v>20056</v>
      </c>
      <c r="D5" s="149" t="s">
        <v>20056</v>
      </c>
      <c r="E5" s="149" t="s">
        <v>65</v>
      </c>
      <c r="F5" s="149" t="s">
        <v>20057</v>
      </c>
      <c r="G5" s="149"/>
      <c r="H5" s="206" t="s">
        <v>20058</v>
      </c>
      <c r="I5" s="207" t="s">
        <v>20059</v>
      </c>
      <c r="J5" s="207" t="s">
        <v>20059</v>
      </c>
      <c r="K5" s="150" t="s">
        <v>20060</v>
      </c>
      <c r="L5" s="150" t="s">
        <v>20060</v>
      </c>
      <c r="M5" s="150" t="s">
        <v>1604</v>
      </c>
      <c r="N5" s="150"/>
      <c r="O5" s="150"/>
      <c r="P5" s="209"/>
      <c r="Q5" s="151"/>
      <c r="R5" s="149" t="str">
        <f ca="1">IF(ISERROR($V5),"",OFFSET('Smelter Look-up'!$C$4,$V5-4,0)&amp;"")</f>
        <v/>
      </c>
      <c r="S5" s="155" t="str">
        <f t="shared" ref="S5:S12" ca="1" si="0">IF(B5="","",IF(ISERROR(MATCH($E5,CL,0)),"Unknown",INDIRECT("'C'!$A$"&amp;MATCH($E5,CL,0)+1)))</f>
        <v>CN</v>
      </c>
      <c r="T5" s="155" t="str">
        <f ca="1">IF(B5="","",IF(ISERROR(MATCH($J5,SorP!$B$1:$B$6226,0)),"",INDIRECT("'SorP'!$A$"&amp;MATCH($S5&amp;$J5,SorP!C:C,0))))</f>
        <v/>
      </c>
      <c r="U5" s="168"/>
      <c r="V5" s="169" t="e">
        <f>IF(C5="",NA(),MATCH($B5&amp;$C5,'Smelter Look-up'!$J:$J,0))</f>
        <v>#N/A</v>
      </c>
      <c r="X5" s="170">
        <f t="shared" ref="X5:X12" si="1">IF(AND(C5="Smelter not listed",OR(LEN(D5)=0,LEN(E5)=0)),1,0)</f>
        <v>0</v>
      </c>
      <c r="AB5" s="314" t="str">
        <f t="shared" ref="AB5:AB12" si="2">IF(C5="","",B5)</f>
        <v>Copper</v>
      </c>
    </row>
    <row r="6" spans="1:34" s="170" customFormat="1" ht="20">
      <c r="A6" s="198" t="s">
        <v>20062</v>
      </c>
      <c r="B6" s="304" t="s">
        <v>18641</v>
      </c>
      <c r="C6" s="152" t="s">
        <v>20061</v>
      </c>
      <c r="D6" s="149" t="s">
        <v>20061</v>
      </c>
      <c r="E6" s="149" t="s">
        <v>65</v>
      </c>
      <c r="F6" s="149" t="s">
        <v>20062</v>
      </c>
      <c r="G6" s="149"/>
      <c r="H6" s="206"/>
      <c r="I6" s="207" t="s">
        <v>20063</v>
      </c>
      <c r="J6" s="207" t="s">
        <v>20064</v>
      </c>
      <c r="K6" s="150"/>
      <c r="L6" s="150"/>
      <c r="M6" s="150"/>
      <c r="N6" s="150"/>
      <c r="O6" s="150"/>
      <c r="P6" s="209"/>
      <c r="Q6" s="151"/>
      <c r="R6" s="149" t="str">
        <f ca="1">IF(ISERROR($V6),"",OFFSET('Smelter Look-up'!$C$4,$V6-4,0)&amp;"")</f>
        <v/>
      </c>
      <c r="S6" s="155" t="str">
        <f t="shared" ca="1" si="0"/>
        <v>CN</v>
      </c>
      <c r="T6" s="155" t="str">
        <f ca="1">IF(B6="","",IF(ISERROR(MATCH($J6,SorP!$B$1:$B$6226,0)),"",INDIRECT("'SorP'!$A$"&amp;MATCH($S6&amp;$J6,SorP!C:C,0))))</f>
        <v/>
      </c>
      <c r="U6" s="168"/>
      <c r="V6" s="169" t="e">
        <f>IF(C6="",NA(),MATCH($B6&amp;$C6,'Smelter Look-up'!$J:$J,0))</f>
        <v>#N/A</v>
      </c>
      <c r="X6" s="170">
        <f t="shared" si="1"/>
        <v>0</v>
      </c>
      <c r="AB6" s="314" t="str">
        <f t="shared" si="2"/>
        <v>Copper</v>
      </c>
    </row>
    <row r="7" spans="1:34" s="170" customFormat="1" ht="67.5">
      <c r="A7" s="198" t="s">
        <v>18771</v>
      </c>
      <c r="B7" s="304" t="s">
        <v>18641</v>
      </c>
      <c r="C7" s="152" t="str">
        <f ca="1">IF(LEN(A7)=0,"",INDEX('Smelter Look-up'!$C:$C,MATCH($A7,'Smelter Look-up'!$E:$E,0)))</f>
        <v>Tenke Fungurume Mining SA</v>
      </c>
      <c r="D7" s="149" t="s">
        <v>12060</v>
      </c>
      <c r="E7" s="149" t="s">
        <v>1405</v>
      </c>
      <c r="F7" s="149" t="s">
        <v>18771</v>
      </c>
      <c r="G7" s="149"/>
      <c r="H7" s="206" t="s">
        <v>20065</v>
      </c>
      <c r="I7" s="207" t="s">
        <v>62</v>
      </c>
      <c r="J7" s="207" t="s">
        <v>20065</v>
      </c>
      <c r="K7" s="150"/>
      <c r="L7" s="150" t="s">
        <v>20066</v>
      </c>
      <c r="M7" s="150" t="s">
        <v>20067</v>
      </c>
      <c r="N7" s="150"/>
      <c r="O7" s="150"/>
      <c r="P7" s="209"/>
      <c r="Q7" s="151"/>
      <c r="R7" s="149" t="str">
        <f ca="1">IF(ISERROR($V7),"",OFFSET('Smelter Look-up'!$C$4,$V7-4,0)&amp;"")</f>
        <v>Tenke Fungurume Mining SA</v>
      </c>
      <c r="S7" s="155" t="str">
        <f t="shared" ca="1" si="0"/>
        <v>CG</v>
      </c>
      <c r="T7" s="155" t="str">
        <f ca="1">IF(B7="","",IF(ISERROR(MATCH($J7,SorP!$B$1:$B$6226,0)),"",INDIRECT("'SorP'!$A$"&amp;MATCH($S7&amp;$J7,SorP!C:C,0))))</f>
        <v/>
      </c>
      <c r="U7" s="168"/>
      <c r="V7" s="169">
        <f ca="1">IF(C7="",NA(),MATCH($B7&amp;$C7,'Smelter Look-up'!$J:$J,0))</f>
        <v>267</v>
      </c>
      <c r="X7" s="170">
        <f t="shared" ca="1" si="1"/>
        <v>0</v>
      </c>
      <c r="AB7" s="314" t="str">
        <f t="shared" ca="1" si="2"/>
        <v>Copper</v>
      </c>
    </row>
    <row r="8" spans="1:34" s="170" customFormat="1" ht="121.5">
      <c r="A8" s="198" t="s">
        <v>18774</v>
      </c>
      <c r="B8" s="304" t="s">
        <v>18641</v>
      </c>
      <c r="C8" s="152" t="str">
        <f ca="1">IF(LEN(A8)=0,"",INDEX('Smelter Look-up'!$C:$C,MATCH($A8,'Smelter Look-up'!$E:$E,0)))</f>
        <v>Toyo Smelter &amp; Refinery, Sumitomo Metal Mining</v>
      </c>
      <c r="D8" s="149" t="s">
        <v>20068</v>
      </c>
      <c r="E8" s="149" t="s">
        <v>133</v>
      </c>
      <c r="F8" s="149" t="s">
        <v>18774</v>
      </c>
      <c r="G8" s="149"/>
      <c r="H8" s="206" t="s">
        <v>20069</v>
      </c>
      <c r="I8" s="207" t="s">
        <v>20070</v>
      </c>
      <c r="J8" s="207" t="s">
        <v>20071</v>
      </c>
      <c r="K8" s="150"/>
      <c r="L8" s="150"/>
      <c r="M8" s="150" t="s">
        <v>20072</v>
      </c>
      <c r="N8" s="150"/>
      <c r="O8" s="150"/>
      <c r="P8" s="209"/>
      <c r="Q8" s="151"/>
      <c r="R8" s="149" t="str">
        <f ca="1">IF(ISERROR($V8),"",OFFSET('Smelter Look-up'!$C$4,$V8-4,0)&amp;"")</f>
        <v>Toyo Smelter &amp; Refinery, Sumitomo Metal Mining</v>
      </c>
      <c r="S8" s="155" t="str">
        <f t="shared" ca="1" si="0"/>
        <v>JP</v>
      </c>
      <c r="T8" s="155" t="str">
        <f ca="1">IF(B8="","",IF(ISERROR(MATCH($J8,SorP!$B$1:$B$6226,0)),"",INDIRECT("'SorP'!$A$"&amp;MATCH($S8&amp;$J8,SorP!C:C,0))))</f>
        <v/>
      </c>
      <c r="U8" s="168"/>
      <c r="V8" s="169">
        <f ca="1">IF(C8="",NA(),MATCH($B8&amp;$C8,'Smelter Look-up'!$J:$J,0))</f>
        <v>269</v>
      </c>
      <c r="X8" s="170">
        <f t="shared" ca="1" si="1"/>
        <v>0</v>
      </c>
      <c r="AB8" s="314" t="str">
        <f t="shared" ca="1" si="2"/>
        <v>Copper</v>
      </c>
    </row>
    <row r="9" spans="1:34" s="170" customFormat="1" ht="20">
      <c r="A9" s="198" t="s">
        <v>20074</v>
      </c>
      <c r="B9" s="304" t="s">
        <v>18641</v>
      </c>
      <c r="C9" s="152" t="s">
        <v>20073</v>
      </c>
      <c r="D9" s="149" t="s">
        <v>20073</v>
      </c>
      <c r="E9" s="149" t="s">
        <v>133</v>
      </c>
      <c r="F9" s="149" t="s">
        <v>20074</v>
      </c>
      <c r="G9" s="149"/>
      <c r="H9" s="206"/>
      <c r="I9" s="207"/>
      <c r="J9" s="207"/>
      <c r="K9" s="150"/>
      <c r="L9" s="150"/>
      <c r="M9" s="150"/>
      <c r="N9" s="150"/>
      <c r="O9" s="150"/>
      <c r="P9" s="209"/>
      <c r="Q9" s="151"/>
      <c r="R9" s="149" t="str">
        <f ca="1">IF(ISERROR($V9),"",OFFSET('Smelter Look-up'!$C$4,$V9-4,0)&amp;"")</f>
        <v/>
      </c>
      <c r="S9" s="155" t="str">
        <f t="shared" ca="1" si="0"/>
        <v>JP</v>
      </c>
      <c r="T9" s="155" t="str">
        <f ca="1">IF(B9="","",IF(ISERROR(MATCH($J9,SorP!$B$1:$B$6226,0)),"",INDIRECT("'SorP'!$A$"&amp;MATCH($S9&amp;$J9,SorP!C:C,0))))</f>
        <v/>
      </c>
      <c r="U9" s="168"/>
      <c r="V9" s="169" t="e">
        <f>IF(C9="",NA(),MATCH($B9&amp;$C9,'Smelter Look-up'!$J:$J,0))</f>
        <v>#N/A</v>
      </c>
      <c r="X9" s="170">
        <f t="shared" si="1"/>
        <v>0</v>
      </c>
      <c r="AB9" s="314" t="str">
        <f t="shared" si="2"/>
        <v>Copper</v>
      </c>
    </row>
    <row r="10" spans="1:34" s="170" customFormat="1" ht="94.5">
      <c r="A10" s="198" t="s">
        <v>18703</v>
      </c>
      <c r="B10" s="304" t="s">
        <v>18641</v>
      </c>
      <c r="C10" s="152" t="str">
        <f ca="1">IF(LEN(A10)=0,"",INDEX('Smelter Look-up'!$C:$C,MATCH($A10,'Smelter Look-up'!$E:$E,0)))</f>
        <v>JX Nippon Mining &amp; Metals Co., Ltd. Hitachi</v>
      </c>
      <c r="D10" s="149" t="s">
        <v>20075</v>
      </c>
      <c r="E10" s="149" t="s">
        <v>133</v>
      </c>
      <c r="F10" s="149" t="s">
        <v>18703</v>
      </c>
      <c r="G10" s="149"/>
      <c r="H10" s="206"/>
      <c r="I10" s="207"/>
      <c r="J10" s="207"/>
      <c r="K10" s="150"/>
      <c r="L10" s="150"/>
      <c r="M10" s="150"/>
      <c r="N10" s="150"/>
      <c r="O10" s="150"/>
      <c r="P10" s="209"/>
      <c r="Q10" s="151"/>
      <c r="R10" s="149" t="str">
        <f ca="1">IF(ISERROR($V10),"",OFFSET('Smelter Look-up'!$C$4,$V10-4,0)&amp;"")</f>
        <v>JX Nippon Mining &amp; Metals Co., Ltd. Hitachi</v>
      </c>
      <c r="S10" s="155" t="str">
        <f t="shared" ca="1" si="0"/>
        <v>JP</v>
      </c>
      <c r="T10" s="155" t="str">
        <f ca="1">IF(B10="","",IF(ISERROR(MATCH($J10,SorP!$B$1:$B$6226,0)),"",INDIRECT("'SorP'!$A$"&amp;MATCH($S10&amp;$J10,SorP!C:C,0))))</f>
        <v/>
      </c>
      <c r="U10" s="168"/>
      <c r="V10" s="169">
        <f ca="1">IF(C10="",NA(),MATCH($B10&amp;$C10,'Smelter Look-up'!$J:$J,0))</f>
        <v>211</v>
      </c>
      <c r="X10" s="170">
        <f t="shared" ca="1" si="1"/>
        <v>0</v>
      </c>
      <c r="AB10" s="314" t="str">
        <f t="shared" ca="1" si="2"/>
        <v>Copper</v>
      </c>
    </row>
    <row r="11" spans="1:34" s="170" customFormat="1" ht="20">
      <c r="A11" s="199" t="s">
        <v>20076</v>
      </c>
      <c r="B11" s="304" t="s">
        <v>18641</v>
      </c>
      <c r="C11" s="152" t="s">
        <v>20061</v>
      </c>
      <c r="D11" s="149" t="s">
        <v>20061</v>
      </c>
      <c r="E11" s="149" t="s">
        <v>65</v>
      </c>
      <c r="F11" s="149" t="s">
        <v>20076</v>
      </c>
      <c r="G11" s="149"/>
      <c r="H11" s="206"/>
      <c r="I11" s="207"/>
      <c r="J11" s="207"/>
      <c r="K11" s="150"/>
      <c r="L11" s="150"/>
      <c r="M11" s="150"/>
      <c r="N11" s="150"/>
      <c r="O11" s="150"/>
      <c r="P11" s="209"/>
      <c r="Q11" s="151"/>
      <c r="R11" s="149" t="str">
        <f ca="1">IF(ISERROR($V11),"",OFFSET('Smelter Look-up'!$C$4,$V11-4,0)&amp;"")</f>
        <v/>
      </c>
      <c r="S11" s="155" t="str">
        <f t="shared" ca="1" si="0"/>
        <v>CN</v>
      </c>
      <c r="T11" s="155" t="str">
        <f ca="1">IF(B11="","",IF(ISERROR(MATCH($J11,SorP!$B$1:$B$6226,0)),"",INDIRECT("'SorP'!$A$"&amp;MATCH($S11&amp;$J11,SorP!C:C,0))))</f>
        <v/>
      </c>
      <c r="U11" s="168"/>
      <c r="V11" s="169" t="e">
        <f>IF(C11="",NA(),MATCH($B11&amp;$C11,'Smelter Look-up'!$J:$J,0))</f>
        <v>#N/A</v>
      </c>
      <c r="X11" s="170">
        <f t="shared" si="1"/>
        <v>0</v>
      </c>
      <c r="AB11" s="314" t="str">
        <f t="shared" si="2"/>
        <v>Copper</v>
      </c>
    </row>
    <row r="12" spans="1:34" s="170" customFormat="1" ht="27">
      <c r="A12" s="198" t="s">
        <v>20078</v>
      </c>
      <c r="B12" s="304" t="s">
        <v>18641</v>
      </c>
      <c r="C12" s="152" t="s">
        <v>20077</v>
      </c>
      <c r="D12" s="149" t="s">
        <v>20077</v>
      </c>
      <c r="E12" s="149" t="s">
        <v>65</v>
      </c>
      <c r="F12" s="149" t="s">
        <v>20078</v>
      </c>
      <c r="G12" s="149"/>
      <c r="H12" s="206"/>
      <c r="I12" s="207" t="s">
        <v>20079</v>
      </c>
      <c r="J12" s="207"/>
      <c r="K12" s="150"/>
      <c r="L12" s="150"/>
      <c r="M12" s="150"/>
      <c r="N12" s="150"/>
      <c r="O12" s="150"/>
      <c r="P12" s="209"/>
      <c r="Q12" s="151"/>
      <c r="R12" s="149" t="str">
        <f ca="1">IF(ISERROR($V12),"",OFFSET('Smelter Look-up'!$C$4,$V12-4,0)&amp;"")</f>
        <v/>
      </c>
      <c r="S12" s="155" t="str">
        <f t="shared" ca="1" si="0"/>
        <v>CN</v>
      </c>
      <c r="T12" s="155" t="str">
        <f ca="1">IF(B12="","",IF(ISERROR(MATCH($J12,SorP!$B$1:$B$6226,0)),"",INDIRECT("'SorP'!$A$"&amp;MATCH($S12&amp;$J12,SorP!C:C,0))))</f>
        <v/>
      </c>
      <c r="U12" s="168"/>
      <c r="V12" s="169" t="e">
        <f>IF(C12="",NA(),MATCH($B12&amp;$C12,'Smelter Look-up'!$J:$J,0))</f>
        <v>#N/A</v>
      </c>
      <c r="X12" s="170">
        <f t="shared" si="1"/>
        <v>0</v>
      </c>
      <c r="AB12" s="314" t="str">
        <f t="shared" si="2"/>
        <v>Copper</v>
      </c>
    </row>
    <row r="13" spans="1:34" s="170" customFormat="1" ht="27">
      <c r="A13" s="198" t="s">
        <v>20082</v>
      </c>
      <c r="B13" s="304" t="s">
        <v>18641</v>
      </c>
      <c r="C13" s="152" t="s">
        <v>20080</v>
      </c>
      <c r="D13" s="149" t="s">
        <v>20080</v>
      </c>
      <c r="E13" s="149" t="s">
        <v>20081</v>
      </c>
      <c r="F13" s="149" t="s">
        <v>20082</v>
      </c>
      <c r="G13" s="149"/>
      <c r="H13" s="206"/>
      <c r="I13" s="207"/>
      <c r="J13" s="207"/>
      <c r="K13" s="150"/>
      <c r="L13" s="150"/>
      <c r="M13" s="150"/>
      <c r="N13" s="150"/>
      <c r="O13" s="150"/>
      <c r="P13" s="209"/>
      <c r="Q13" s="151"/>
      <c r="R13" s="149" t="str">
        <f ca="1">IF(ISERROR($V13),"",OFFSET('Smelter Look-up'!$C$4,$V13-4,0)&amp;"")</f>
        <v/>
      </c>
      <c r="S13" s="155" t="str">
        <f t="shared" ref="S13:S63" ca="1" si="3">IF(B13="","",IF(ISERROR(MATCH($E13,CL,0)),"Unknown",INDIRECT("'C'!$A$"&amp;MATCH($E13,CL,0)+1)))</f>
        <v>CN</v>
      </c>
      <c r="T13" s="155" t="str">
        <f ca="1">IF(B13="","",IF(ISERROR(MATCH($J13,SorP!$B$1:$B$6226,0)),"",INDIRECT("'SorP'!$A$"&amp;MATCH($S13&amp;$J13,SorP!C:C,0))))</f>
        <v/>
      </c>
      <c r="U13" s="168"/>
      <c r="V13" s="169" t="e">
        <f>IF(C13="",NA(),MATCH($B13&amp;$C13,'Smelter Look-up'!$J:$J,0))</f>
        <v>#N/A</v>
      </c>
      <c r="X13" s="170">
        <f t="shared" ref="X13:X62" si="4">IF(AND(C13="Smelter not listed",OR(LEN(D13)=0,LEN(E13)=0)),1,0)</f>
        <v>0</v>
      </c>
      <c r="AB13" s="314" t="str">
        <f t="shared" ref="AB13:AB69" si="5">IF(C13="","",B13)</f>
        <v>Copper</v>
      </c>
    </row>
    <row r="14" spans="1:34" s="170" customFormat="1" ht="27">
      <c r="A14" s="199" t="s">
        <v>20084</v>
      </c>
      <c r="B14" s="304" t="s">
        <v>18641</v>
      </c>
      <c r="C14" s="152" t="s">
        <v>20083</v>
      </c>
      <c r="D14" s="149" t="s">
        <v>20083</v>
      </c>
      <c r="E14" s="149" t="s">
        <v>65</v>
      </c>
      <c r="F14" s="149" t="s">
        <v>20084</v>
      </c>
      <c r="G14" s="149"/>
      <c r="H14" s="206"/>
      <c r="I14" s="207"/>
      <c r="J14" s="207"/>
      <c r="K14" s="150"/>
      <c r="L14" s="150"/>
      <c r="M14" s="150"/>
      <c r="N14" s="150"/>
      <c r="O14" s="150"/>
      <c r="P14" s="209"/>
      <c r="Q14" s="151"/>
      <c r="R14" s="149" t="str">
        <f ca="1">IF(ISERROR($V14),"",OFFSET('Smelter Look-up'!$C$4,$V14-4,0)&amp;"")</f>
        <v/>
      </c>
      <c r="S14" s="155" t="str">
        <f t="shared" ca="1" si="3"/>
        <v>CN</v>
      </c>
      <c r="T14" s="155" t="str">
        <f ca="1">IF(B14="","",IF(ISERROR(MATCH($J14,SorP!$B$1:$B$6226,0)),"",INDIRECT("'SorP'!$A$"&amp;MATCH($S14&amp;$J14,SorP!C:C,0))))</f>
        <v/>
      </c>
      <c r="U14" s="168"/>
      <c r="V14" s="169" t="e">
        <f>IF(C14="",NA(),MATCH($B14&amp;$C14,'Smelter Look-up'!$J:$J,0))</f>
        <v>#N/A</v>
      </c>
      <c r="X14" s="170">
        <f t="shared" si="4"/>
        <v>0</v>
      </c>
      <c r="AB14" s="314" t="str">
        <f t="shared" si="5"/>
        <v>Copper</v>
      </c>
    </row>
    <row r="15" spans="1:34" s="170" customFormat="1" ht="20">
      <c r="A15" s="199" t="s">
        <v>20086</v>
      </c>
      <c r="B15" s="304" t="s">
        <v>18641</v>
      </c>
      <c r="C15" s="152" t="s">
        <v>20085</v>
      </c>
      <c r="D15" s="149" t="s">
        <v>20085</v>
      </c>
      <c r="E15" s="149" t="s">
        <v>65</v>
      </c>
      <c r="F15" s="149" t="s">
        <v>20086</v>
      </c>
      <c r="G15" s="149"/>
      <c r="H15" s="206"/>
      <c r="I15" s="207"/>
      <c r="J15" s="207"/>
      <c r="K15" s="150"/>
      <c r="L15" s="150"/>
      <c r="M15" s="150"/>
      <c r="N15" s="150"/>
      <c r="O15" s="150"/>
      <c r="P15" s="209"/>
      <c r="Q15" s="151"/>
      <c r="R15" s="149" t="str">
        <f ca="1">IF(ISERROR($V15),"",OFFSET('Smelter Look-up'!$C$4,$V15-4,0)&amp;"")</f>
        <v/>
      </c>
      <c r="S15" s="155" t="str">
        <f t="shared" ca="1" si="3"/>
        <v>CN</v>
      </c>
      <c r="T15" s="155" t="str">
        <f ca="1">IF(B15="","",IF(ISERROR(MATCH($J15,SorP!$B$1:$B$6226,0)),"",INDIRECT("'SorP'!$A$"&amp;MATCH($S15&amp;$J15,SorP!C:C,0))))</f>
        <v/>
      </c>
      <c r="U15" s="168"/>
      <c r="V15" s="169" t="e">
        <f>IF(C15="",NA(),MATCH($B15&amp;$C15,'Smelter Look-up'!$J:$J,0))</f>
        <v>#N/A</v>
      </c>
      <c r="X15" s="170">
        <f t="shared" si="4"/>
        <v>0</v>
      </c>
      <c r="AB15" s="314" t="str">
        <f t="shared" si="5"/>
        <v>Copper</v>
      </c>
    </row>
    <row r="16" spans="1:34" s="170" customFormat="1" ht="20">
      <c r="A16" s="198" t="s">
        <v>20088</v>
      </c>
      <c r="B16" s="304" t="s">
        <v>18641</v>
      </c>
      <c r="C16" s="152" t="s">
        <v>20087</v>
      </c>
      <c r="D16" s="149" t="s">
        <v>20087</v>
      </c>
      <c r="E16" s="149" t="s">
        <v>133</v>
      </c>
      <c r="F16" s="149" t="s">
        <v>20088</v>
      </c>
      <c r="G16" s="149"/>
      <c r="H16" s="206" t="s">
        <v>133</v>
      </c>
      <c r="I16" s="207"/>
      <c r="J16" s="207"/>
      <c r="K16" s="150"/>
      <c r="L16" s="150"/>
      <c r="M16" s="150"/>
      <c r="N16" s="150"/>
      <c r="O16" s="150"/>
      <c r="P16" s="209"/>
      <c r="Q16" s="151"/>
      <c r="R16" s="149" t="str">
        <f ca="1">IF(ISERROR($V16),"",OFFSET('Smelter Look-up'!$C$4,$V16-4,0)&amp;"")</f>
        <v/>
      </c>
      <c r="S16" s="155" t="str">
        <f t="shared" ca="1" si="3"/>
        <v>JP</v>
      </c>
      <c r="T16" s="155" t="str">
        <f ca="1">IF(B16="","",IF(ISERROR(MATCH($J16,SorP!$B$1:$B$6226,0)),"",INDIRECT("'SorP'!$A$"&amp;MATCH($S16&amp;$J16,SorP!C:C,0))))</f>
        <v/>
      </c>
      <c r="U16" s="168"/>
      <c r="V16" s="169" t="e">
        <f>IF(C16="",NA(),MATCH($B16&amp;$C16,'Smelter Look-up'!$J:$J,0))</f>
        <v>#N/A</v>
      </c>
      <c r="X16" s="170">
        <f t="shared" si="4"/>
        <v>0</v>
      </c>
      <c r="AB16" s="314" t="str">
        <f t="shared" si="5"/>
        <v>Copper</v>
      </c>
    </row>
    <row r="17" spans="1:28" s="170" customFormat="1" ht="27">
      <c r="A17" s="198" t="s">
        <v>18725</v>
      </c>
      <c r="B17" s="304" t="s">
        <v>18641</v>
      </c>
      <c r="C17" s="152" t="str">
        <f ca="1">IF(LEN(A17)=0,"",INDEX('Smelter Look-up'!$C:$C,MATCH($A17,'Smelter Look-up'!$E:$E,0)))</f>
        <v>LS MnM Inc.</v>
      </c>
      <c r="D17" s="149" t="s">
        <v>18724</v>
      </c>
      <c r="E17" s="149" t="s">
        <v>81</v>
      </c>
      <c r="F17" s="149" t="s">
        <v>18725</v>
      </c>
      <c r="G17" s="149"/>
      <c r="H17" s="206"/>
      <c r="I17" s="207" t="s">
        <v>19195</v>
      </c>
      <c r="J17" s="207" t="s">
        <v>6418</v>
      </c>
      <c r="K17" s="150"/>
      <c r="L17" s="150"/>
      <c r="M17" s="150"/>
      <c r="N17" s="150"/>
      <c r="O17" s="150"/>
      <c r="P17" s="209"/>
      <c r="Q17" s="151"/>
      <c r="R17" s="149" t="str">
        <f ca="1">IF(ISERROR($V17),"",OFFSET('Smelter Look-up'!$C$4,$V17-4,0)&amp;"")</f>
        <v>LS MnM Inc.</v>
      </c>
      <c r="S17" s="155" t="str">
        <f t="shared" ca="1" si="3"/>
        <v>KR</v>
      </c>
      <c r="T17" s="155" t="str">
        <f ca="1">IF(B17="","",IF(ISERROR(MATCH($J17,SorP!$B$1:$B$6226,0)),"",INDIRECT("'SorP'!$A$"&amp;MATCH($S17&amp;$J17,SorP!C:C,0))))</f>
        <v>KR-31</v>
      </c>
      <c r="U17" s="168"/>
      <c r="V17" s="169">
        <f ca="1">IF(C17="",NA(),MATCH($B17&amp;$C17,'Smelter Look-up'!$J:$J,0))</f>
        <v>228</v>
      </c>
      <c r="X17" s="170">
        <f t="shared" ca="1" si="4"/>
        <v>0</v>
      </c>
      <c r="AB17" s="314" t="str">
        <f t="shared" ca="1" si="5"/>
        <v>Copper</v>
      </c>
    </row>
    <row r="18" spans="1:28" s="170" customFormat="1" ht="27">
      <c r="A18" s="198" t="s">
        <v>18703</v>
      </c>
      <c r="B18" s="304" t="s">
        <v>20089</v>
      </c>
      <c r="C18" s="152" t="str">
        <f ca="1">IF(LEN(A18)=0,"",INDEX('Smelter Look-up'!$C:$C,MATCH($A18,'Smelter Look-up'!$E:$E,0)))</f>
        <v>JX Nippon Mining &amp; Metals Co., Ltd. Hitachi</v>
      </c>
      <c r="D18" s="149" t="s">
        <v>18702</v>
      </c>
      <c r="E18" s="149" t="s">
        <v>133</v>
      </c>
      <c r="F18" s="149" t="s">
        <v>18703</v>
      </c>
      <c r="G18" s="149"/>
      <c r="H18" s="206"/>
      <c r="I18" s="207"/>
      <c r="J18" s="207"/>
      <c r="K18" s="150"/>
      <c r="L18" s="150"/>
      <c r="M18" s="150"/>
      <c r="N18" s="150"/>
      <c r="O18" s="150"/>
      <c r="P18" s="209"/>
      <c r="Q18" s="151"/>
      <c r="R18" s="149" t="str">
        <f ca="1">IF(ISERROR($V18),"",OFFSET('Smelter Look-up'!$C$4,$V18-4,0)&amp;"")</f>
        <v/>
      </c>
      <c r="S18" s="155" t="str">
        <f t="shared" ca="1" si="3"/>
        <v>JP</v>
      </c>
      <c r="T18" s="155" t="str">
        <f ca="1">IF(B18="","",IF(ISERROR(MATCH($J18,SorP!$B$1:$B$6226,0)),"",INDIRECT("'SorP'!$A$"&amp;MATCH($S18&amp;$J18,SorP!C:C,0))))</f>
        <v/>
      </c>
      <c r="U18" s="168"/>
      <c r="V18" s="169" t="e">
        <f ca="1">IF(C18="",NA(),MATCH($B18&amp;$C18,'Smelter Look-up'!$J:$J,0))</f>
        <v>#N/A</v>
      </c>
      <c r="X18" s="170">
        <f t="shared" ca="1" si="4"/>
        <v>0</v>
      </c>
      <c r="AB18" s="314" t="str">
        <f t="shared" ca="1" si="5"/>
        <v xml:space="preserve">Copper </v>
      </c>
    </row>
    <row r="19" spans="1:28" s="170" customFormat="1" ht="20">
      <c r="A19" s="198" t="s">
        <v>20092</v>
      </c>
      <c r="B19" s="304" t="s">
        <v>18642</v>
      </c>
      <c r="C19" s="152" t="s">
        <v>20090</v>
      </c>
      <c r="D19" s="149" t="s">
        <v>20090</v>
      </c>
      <c r="E19" s="149" t="s">
        <v>20091</v>
      </c>
      <c r="F19" s="149" t="s">
        <v>20092</v>
      </c>
      <c r="G19" s="149"/>
      <c r="H19" s="206"/>
      <c r="I19" s="207"/>
      <c r="J19" s="207"/>
      <c r="K19" s="150"/>
      <c r="L19" s="150"/>
      <c r="M19" s="150"/>
      <c r="N19" s="150"/>
      <c r="O19" s="150"/>
      <c r="P19" s="209"/>
      <c r="Q19" s="151"/>
      <c r="R19" s="149" t="str">
        <f ca="1">IF(ISERROR($V19),"",OFFSET('Smelter Look-up'!$C$4,$V19-4,0)&amp;"")</f>
        <v/>
      </c>
      <c r="S19" s="155" t="str">
        <f t="shared" ca="1" si="3"/>
        <v>Unknown</v>
      </c>
      <c r="T19" s="155" t="str">
        <f ca="1">IF(B19="","",IF(ISERROR(MATCH($J19,SorP!$B$1:$B$6226,0)),"",INDIRECT("'SorP'!$A$"&amp;MATCH($S19&amp;$J19,SorP!C:C,0))))</f>
        <v/>
      </c>
      <c r="U19" s="168"/>
      <c r="V19" s="169" t="e">
        <f>IF(C19="",NA(),MATCH($B19&amp;$C19,'Smelter Look-up'!$J:$J,0))</f>
        <v>#N/A</v>
      </c>
      <c r="X19" s="170">
        <f t="shared" si="4"/>
        <v>0</v>
      </c>
      <c r="AB19" s="314" t="str">
        <f t="shared" si="5"/>
        <v>Nickel</v>
      </c>
    </row>
    <row r="20" spans="1:28" s="170" customFormat="1" ht="67.5">
      <c r="A20" s="199" t="s">
        <v>18899</v>
      </c>
      <c r="B20" s="304" t="s">
        <v>18642</v>
      </c>
      <c r="C20" s="152" t="str">
        <f ca="1">IF(LEN(A20)=0,"",INDEX('Smelter Look-up'!$C:$C,MATCH($A20,'Smelter Look-up'!$E:$E,0)))</f>
        <v>Murrin Murrin Nickel Cobalt Plant</v>
      </c>
      <c r="D20" s="149" t="s">
        <v>218</v>
      </c>
      <c r="E20" s="149" t="s">
        <v>219</v>
      </c>
      <c r="F20" s="149" t="s">
        <v>18899</v>
      </c>
      <c r="G20" s="149"/>
      <c r="H20" s="206"/>
      <c r="I20" s="207"/>
      <c r="J20" s="207"/>
      <c r="K20" s="150"/>
      <c r="L20" s="150"/>
      <c r="M20" s="150"/>
      <c r="N20" s="150"/>
      <c r="O20" s="150"/>
      <c r="P20" s="209"/>
      <c r="Q20" s="151"/>
      <c r="R20" s="149" t="str">
        <f ca="1">IF(ISERROR($V20),"",OFFSET('Smelter Look-up'!$C$4,$V20-4,0)&amp;"")</f>
        <v>Murrin Murrin Nickel Cobalt Plant</v>
      </c>
      <c r="S20" s="155" t="str">
        <f t="shared" ca="1" si="3"/>
        <v>AU</v>
      </c>
      <c r="T20" s="155" t="str">
        <f ca="1">IF(B20="","",IF(ISERROR(MATCH($J20,SorP!$B$1:$B$6226,0)),"",INDIRECT("'SorP'!$A$"&amp;MATCH($S20&amp;$J20,SorP!C:C,0))))</f>
        <v/>
      </c>
      <c r="U20" s="168"/>
      <c r="V20" s="169">
        <f ca="1">IF(C20="",NA(),MATCH($B20&amp;$C20,'Smelter Look-up'!$J:$J,0))</f>
        <v>411</v>
      </c>
      <c r="X20" s="170">
        <f t="shared" ca="1" si="4"/>
        <v>0</v>
      </c>
      <c r="AB20" s="314" t="str">
        <f t="shared" ca="1" si="5"/>
        <v>Nickel</v>
      </c>
    </row>
    <row r="21" spans="1:28" s="170" customFormat="1" ht="67.5">
      <c r="A21" s="198" t="s">
        <v>18876</v>
      </c>
      <c r="B21" s="304" t="s">
        <v>18642</v>
      </c>
      <c r="C21" s="152" t="str">
        <f ca="1">IF(LEN(A21)=0,"",INDEX('Smelter Look-up'!$C:$C,MATCH($A21,'Smelter Look-up'!$E:$E,0)))</f>
        <v>Dynatec Madagascar Company</v>
      </c>
      <c r="D21" s="149" t="s">
        <v>86</v>
      </c>
      <c r="E21" s="149" t="s">
        <v>87</v>
      </c>
      <c r="F21" s="149" t="s">
        <v>18876</v>
      </c>
      <c r="G21" s="149"/>
      <c r="H21" s="206"/>
      <c r="I21" s="207"/>
      <c r="J21" s="207"/>
      <c r="K21" s="150"/>
      <c r="L21" s="150"/>
      <c r="M21" s="150"/>
      <c r="N21" s="150"/>
      <c r="O21" s="150"/>
      <c r="P21" s="209"/>
      <c r="Q21" s="151"/>
      <c r="R21" s="149" t="str">
        <f ca="1">IF(ISERROR($V21),"",OFFSET('Smelter Look-up'!$C$4,$V21-4,0)&amp;"")</f>
        <v>Dynatec Madagascar Company</v>
      </c>
      <c r="S21" s="155" t="str">
        <f t="shared" ca="1" si="3"/>
        <v>MG</v>
      </c>
      <c r="T21" s="155" t="str">
        <f ca="1">IF(B21="","",IF(ISERROR(MATCH($J21,SorP!$B$1:$B$6226,0)),"",INDIRECT("'SorP'!$A$"&amp;MATCH($S21&amp;$J21,SorP!C:C,0))))</f>
        <v/>
      </c>
      <c r="U21" s="168"/>
      <c r="V21" s="169">
        <f ca="1">IF(C21="",NA(),MATCH($B21&amp;$C21,'Smelter Look-up'!$J:$J,0))</f>
        <v>382</v>
      </c>
      <c r="X21" s="170">
        <f t="shared" ca="1" si="4"/>
        <v>0</v>
      </c>
      <c r="AB21" s="314" t="str">
        <f t="shared" ca="1" si="5"/>
        <v>Nickel</v>
      </c>
    </row>
    <row r="22" spans="1:28" s="170" customFormat="1" ht="20">
      <c r="A22" s="198" t="s">
        <v>20094</v>
      </c>
      <c r="B22" s="304" t="s">
        <v>18642</v>
      </c>
      <c r="C22" s="152" t="s">
        <v>20093</v>
      </c>
      <c r="D22" s="149" t="s">
        <v>20093</v>
      </c>
      <c r="E22" s="149" t="s">
        <v>65</v>
      </c>
      <c r="F22" s="149" t="s">
        <v>20094</v>
      </c>
      <c r="G22" s="149"/>
      <c r="H22" s="206"/>
      <c r="I22" s="207"/>
      <c r="J22" s="207"/>
      <c r="K22" s="150"/>
      <c r="L22" s="150"/>
      <c r="M22" s="150"/>
      <c r="N22" s="150"/>
      <c r="O22" s="150"/>
      <c r="P22" s="209"/>
      <c r="Q22" s="151"/>
      <c r="R22" s="149" t="str">
        <f ca="1">IF(ISERROR($V22),"",OFFSET('Smelter Look-up'!$C$4,$V22-4,0)&amp;"")</f>
        <v/>
      </c>
      <c r="S22" s="155" t="str">
        <f t="shared" ca="1" si="3"/>
        <v>CN</v>
      </c>
      <c r="T22" s="155" t="str">
        <f ca="1">IF(B22="","",IF(ISERROR(MATCH($J22,SorP!$B$1:$B$6226,0)),"",INDIRECT("'SorP'!$A$"&amp;MATCH($S22&amp;$J22,SorP!C:C,0))))</f>
        <v/>
      </c>
      <c r="U22" s="168"/>
      <c r="V22" s="169" t="e">
        <f>IF(C22="",NA(),MATCH($B22&amp;$C22,'Smelter Look-up'!$J:$J,0))</f>
        <v>#N/A</v>
      </c>
      <c r="X22" s="170">
        <f t="shared" si="4"/>
        <v>0</v>
      </c>
      <c r="AB22" s="314" t="str">
        <f t="shared" si="5"/>
        <v>Nickel</v>
      </c>
    </row>
    <row r="23" spans="1:28" s="170" customFormat="1" ht="67.5">
      <c r="A23" s="198" t="s">
        <v>18903</v>
      </c>
      <c r="B23" s="304" t="s">
        <v>18642</v>
      </c>
      <c r="C23" s="152" t="str">
        <f ca="1">IF(LEN(A23)=0,"",INDEX('Smelter Look-up'!$C:$C,MATCH($A23,'Smelter Look-up'!$E:$E,0)))</f>
        <v>NORILSK NICKEL HARJAVALTA OY</v>
      </c>
      <c r="D23" s="149" t="s">
        <v>245</v>
      </c>
      <c r="E23" s="149" t="s">
        <v>101</v>
      </c>
      <c r="F23" s="149" t="s">
        <v>18903</v>
      </c>
      <c r="G23" s="149"/>
      <c r="H23" s="206"/>
      <c r="I23" s="207"/>
      <c r="J23" s="207"/>
      <c r="K23" s="150"/>
      <c r="L23" s="150"/>
      <c r="M23" s="150"/>
      <c r="N23" s="150"/>
      <c r="O23" s="150"/>
      <c r="P23" s="209"/>
      <c r="Q23" s="151"/>
      <c r="R23" s="149" t="str">
        <f ca="1">IF(ISERROR($V23),"",OFFSET('Smelter Look-up'!$C$4,$V23-4,0)&amp;"")</f>
        <v>NORILSK NICKEL HARJAVALTA OY</v>
      </c>
      <c r="S23" s="155" t="str">
        <f t="shared" ca="1" si="3"/>
        <v>FI</v>
      </c>
      <c r="T23" s="155" t="str">
        <f ca="1">IF(B23="","",IF(ISERROR(MATCH($J23,SorP!$B$1:$B$6226,0)),"",INDIRECT("'SorP'!$A$"&amp;MATCH($S23&amp;$J23,SorP!C:C,0))))</f>
        <v/>
      </c>
      <c r="U23" s="168"/>
      <c r="V23" s="169">
        <f ca="1">IF(C23="",NA(),MATCH($B23&amp;$C23,'Smelter Look-up'!$J:$J,0))</f>
        <v>417</v>
      </c>
      <c r="X23" s="170">
        <f t="shared" ca="1" si="4"/>
        <v>0</v>
      </c>
      <c r="AB23" s="314" t="str">
        <f t="shared" ca="1" si="5"/>
        <v>Nickel</v>
      </c>
    </row>
    <row r="24" spans="1:28" s="170" customFormat="1" ht="108">
      <c r="A24" s="155" t="s">
        <v>18901</v>
      </c>
      <c r="B24" s="304" t="s">
        <v>18642</v>
      </c>
      <c r="C24" s="152" t="str">
        <f ca="1">IF(LEN(A24)=0,"",INDEX('Smelter Look-up'!$C:$C,MATCH($A24,'Smelter Look-up'!$E:$E,0)))</f>
        <v>Niihama Nickel Refinery, Sumitomo Metal Mining</v>
      </c>
      <c r="D24" s="149" t="s">
        <v>12059</v>
      </c>
      <c r="E24" s="149" t="s">
        <v>133</v>
      </c>
      <c r="F24" s="149" t="s">
        <v>18901</v>
      </c>
      <c r="G24" s="149"/>
      <c r="H24" s="206"/>
      <c r="I24" s="207"/>
      <c r="J24" s="207"/>
      <c r="K24" s="150"/>
      <c r="L24" s="150"/>
      <c r="M24" s="150"/>
      <c r="N24" s="150"/>
      <c r="O24" s="150"/>
      <c r="P24" s="209"/>
      <c r="Q24" s="151"/>
      <c r="R24" s="149" t="str">
        <f ca="1">IF(ISERROR($V24),"",OFFSET('Smelter Look-up'!$C$4,$V24-4,0)&amp;"")</f>
        <v>Niihama Nickel Refinery, Sumitomo Metal Mining</v>
      </c>
      <c r="S24" s="155" t="str">
        <f t="shared" ca="1" si="3"/>
        <v>JP</v>
      </c>
      <c r="T24" s="155" t="str">
        <f ca="1">IF(B24="","",IF(ISERROR(MATCH($J24,SorP!$B$1:$B$6226,0)),"",INDIRECT("'SorP'!$A$"&amp;MATCH($S24&amp;$J24,SorP!C:C,0))))</f>
        <v/>
      </c>
      <c r="U24" s="168"/>
      <c r="V24" s="169">
        <f ca="1">IF(C24="",NA(),MATCH($B24&amp;$C24,'Smelter Look-up'!$J:$J,0))</f>
        <v>415</v>
      </c>
      <c r="X24" s="170">
        <f t="shared" ca="1" si="4"/>
        <v>0</v>
      </c>
      <c r="AB24" s="314" t="str">
        <f t="shared" ca="1" si="5"/>
        <v>Nickel</v>
      </c>
    </row>
    <row r="25" spans="1:28" s="170" customFormat="1" ht="20">
      <c r="A25" s="155" t="s">
        <v>20096</v>
      </c>
      <c r="B25" s="304" t="s">
        <v>18642</v>
      </c>
      <c r="C25" s="152" t="s">
        <v>20095</v>
      </c>
      <c r="D25" s="149" t="s">
        <v>20095</v>
      </c>
      <c r="E25" s="149" t="s">
        <v>65</v>
      </c>
      <c r="F25" s="149" t="s">
        <v>20096</v>
      </c>
      <c r="G25" s="149"/>
      <c r="H25" s="206"/>
      <c r="I25" s="207"/>
      <c r="J25" s="207"/>
      <c r="K25" s="150"/>
      <c r="L25" s="150"/>
      <c r="M25" s="150"/>
      <c r="N25" s="150"/>
      <c r="O25" s="150"/>
      <c r="P25" s="209"/>
      <c r="Q25" s="151"/>
      <c r="R25" s="149" t="str">
        <f ca="1">IF(ISERROR($V25),"",OFFSET('Smelter Look-up'!$C$4,$V25-4,0)&amp;"")</f>
        <v/>
      </c>
      <c r="S25" s="155" t="str">
        <f t="shared" ca="1" si="3"/>
        <v>CN</v>
      </c>
      <c r="T25" s="155" t="str">
        <f ca="1">IF(B25="","",IF(ISERROR(MATCH($J25,SorP!$B$1:$B$6226,0)),"",INDIRECT("'SorP'!$A$"&amp;MATCH($S25&amp;$J25,SorP!C:C,0))))</f>
        <v/>
      </c>
      <c r="U25" s="168"/>
      <c r="V25" s="169" t="e">
        <f>IF(C25="",NA(),MATCH($B25&amp;$C25,'Smelter Look-up'!$J:$J,0))</f>
        <v>#N/A</v>
      </c>
      <c r="X25" s="170">
        <f t="shared" si="4"/>
        <v>0</v>
      </c>
      <c r="AB25" s="314" t="str">
        <f t="shared" si="5"/>
        <v>Nickel</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c r="C27" s="152"/>
      <c r="D27" s="149"/>
      <c r="E27" s="149"/>
      <c r="F27" s="149"/>
      <c r="G27" s="149"/>
      <c r="H27" s="206"/>
      <c r="I27" s="207"/>
      <c r="J27" s="207"/>
      <c r="K27" s="150"/>
      <c r="L27" s="150"/>
      <c r="M27" s="150"/>
      <c r="N27" s="150"/>
      <c r="O27" s="150"/>
      <c r="P27" s="209"/>
      <c r="Q27" s="151"/>
      <c r="R27" s="149"/>
      <c r="S27" s="155"/>
      <c r="T27" s="155"/>
      <c r="U27" s="168"/>
      <c r="V27" s="169"/>
      <c r="AB27" s="314"/>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55" zoomScaleNormal="55"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7">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5">
      <c r="A4" s="135" t="str">
        <f ca="1">Declaration!B8</f>
        <v>Company Name (*):</v>
      </c>
      <c r="B4" s="356" t="str">
        <f>Declaration!D8</f>
        <v>Taiwan Semiconductor Co.,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Smile Chung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smile.chung@ts.com.tw</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+886-2-8913-1588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Smile Chung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smile.chung@ts.com.tw</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45777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https://www.taiwansemi.com/en/wp-content/uploads/2023/12/Conflict%20Minerals%20Policy_20240124_Web.pdf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List'!AB$5:AB$2504,A114)&gt;0),0,1)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Smile Chung [TSC-HQ]</cp:lastModifiedBy>
  <cp:revision/>
  <dcterms:created xsi:type="dcterms:W3CDTF">2010-06-21T21:00:23Z</dcterms:created>
  <dcterms:modified xsi:type="dcterms:W3CDTF">2025-04-30T01:32:27Z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