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T:\00 - Supplier Documentation\Conflict Minerals (inc. CMRT, EMRT &amp; AMRT)\CMRTs\0 - CMRT6.6\Hudson\"/>
    </mc:Choice>
  </mc:AlternateContent>
  <xr:revisionPtr revIDLastSave="0" documentId="13_ncr:1_{8047F2A0-87CD-4542-B1FA-797C60E6BF1E}"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4910" yWindow="-163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1" i="5" l="1"/>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5" i="5"/>
  <c r="C4"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X36" i="5"/>
  <c r="V37" i="5"/>
  <c r="E37" i="5"/>
  <c r="X37" i="5"/>
  <c r="V38" i="5"/>
  <c r="E38" i="5"/>
  <c r="X38" i="5"/>
  <c r="V39" i="5"/>
  <c r="E39" i="5"/>
  <c r="X39" i="5"/>
  <c r="V40" i="5"/>
  <c r="E40" i="5"/>
  <c r="X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X52" i="5"/>
  <c r="V53" i="5"/>
  <c r="E53" i="5"/>
  <c r="X53" i="5"/>
  <c r="V54" i="5"/>
  <c r="E54" i="5"/>
  <c r="X54" i="5"/>
  <c r="V55" i="5"/>
  <c r="E55" i="5"/>
  <c r="X55" i="5"/>
  <c r="V56" i="5"/>
  <c r="E56" i="5"/>
  <c r="X56" i="5"/>
  <c r="V57" i="5"/>
  <c r="E57" i="5"/>
  <c r="X57" i="5"/>
  <c r="V58" i="5"/>
  <c r="E58" i="5"/>
  <c r="X58" i="5"/>
  <c r="V59" i="5"/>
  <c r="E59" i="5"/>
  <c r="X59" i="5"/>
  <c r="V60" i="5"/>
  <c r="E60" i="5"/>
  <c r="X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X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X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X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X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X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B63" i="6"/>
  <c r="G63" i="6"/>
  <c r="B62" i="6"/>
  <c r="G62" i="6"/>
  <c r="B60" i="6"/>
  <c r="G60" i="6"/>
  <c r="B59" i="6"/>
  <c r="G59" i="6"/>
  <c r="B58" i="6"/>
  <c r="G58" i="6"/>
  <c r="B57" i="6"/>
  <c r="G57" i="6"/>
  <c r="B56" i="6"/>
  <c r="G56" i="6"/>
  <c r="B55" i="6"/>
  <c r="G55" i="6"/>
  <c r="B54" i="6"/>
  <c r="G54" i="6"/>
  <c r="B17" i="6"/>
  <c r="G17" i="6"/>
  <c r="H17" i="6"/>
  <c r="B16" i="6"/>
  <c r="B15" i="6"/>
  <c r="B14" i="6"/>
  <c r="H13" i="6"/>
  <c r="B12" i="6"/>
  <c r="G12" i="6"/>
  <c r="H12" i="6"/>
  <c r="D12" i="6"/>
  <c r="B11" i="6"/>
  <c r="G11" i="6"/>
  <c r="H11" i="6"/>
  <c r="D11" i="6"/>
  <c r="G10" i="6"/>
  <c r="H10" i="6"/>
  <c r="D10" i="6"/>
  <c r="G9" i="6"/>
  <c r="H9" i="6"/>
  <c r="D9" i="6"/>
  <c r="B8" i="6"/>
  <c r="G8" i="6"/>
  <c r="H8" i="6"/>
  <c r="D8" i="6"/>
  <c r="B7" i="6"/>
  <c r="G7" i="6"/>
  <c r="H7" i="6"/>
  <c r="D7" i="6"/>
  <c r="B6" i="6"/>
  <c r="G6" i="6"/>
  <c r="B5" i="6"/>
  <c r="F6" i="6"/>
  <c r="H6" i="6"/>
  <c r="D6" i="6"/>
  <c r="B4" i="6"/>
  <c r="G4" i="6"/>
  <c r="H4" i="6"/>
  <c r="D4" i="6"/>
  <c r="S2492" i="5"/>
  <c r="B90" i="4"/>
  <c r="H67" i="4"/>
  <c r="P47" i="4"/>
  <c r="P46" i="4"/>
  <c r="P45" i="4"/>
  <c r="P44" i="4"/>
  <c r="P43" i="4"/>
  <c r="Q43" i="4"/>
  <c r="P41" i="4"/>
  <c r="B41" i="4"/>
  <c r="B71" i="4"/>
  <c r="A52" i="6"/>
  <c r="P40" i="4"/>
  <c r="P39" i="4"/>
  <c r="B39" i="4"/>
  <c r="P38" i="4"/>
  <c r="P37" i="4"/>
  <c r="Q37" i="4"/>
  <c r="B43" i="4"/>
  <c r="A28" i="6"/>
  <c r="P35" i="4"/>
  <c r="P34" i="4"/>
  <c r="P33" i="4"/>
  <c r="P32" i="4"/>
  <c r="P31" i="4"/>
  <c r="Q31" i="4"/>
  <c r="P29" i="4"/>
  <c r="B29" i="4"/>
  <c r="B35" i="4"/>
  <c r="A22" i="6"/>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F64" i="6"/>
  <c r="G5" i="6"/>
  <c r="H5" i="6"/>
  <c r="D5" i="6"/>
  <c r="G15" i="6"/>
  <c r="H15" i="6"/>
  <c r="B20" i="6"/>
  <c r="F25" i="6"/>
  <c r="B21" i="6"/>
  <c r="B31" i="6"/>
  <c r="G31" i="6"/>
  <c r="G16" i="6"/>
  <c r="H16" i="6"/>
  <c r="A38" i="2"/>
  <c r="J4" i="5"/>
  <c r="A55" i="2"/>
  <c r="A73" i="2"/>
  <c r="B9" i="3"/>
  <c r="A3" i="2"/>
  <c r="A20" i="2"/>
  <c r="B17" i="3"/>
  <c r="B25" i="3"/>
  <c r="C20" i="3"/>
  <c r="A75" i="2"/>
  <c r="C25" i="3"/>
  <c r="N4" i="5"/>
  <c r="A43" i="2"/>
  <c r="C3" i="3"/>
  <c r="C19" i="3"/>
  <c r="P4" i="5"/>
  <c r="A45" i="2"/>
  <c r="C4" i="3"/>
  <c r="B26" i="4"/>
  <c r="A14" i="6"/>
  <c r="A12" i="2"/>
  <c r="A29" i="2"/>
  <c r="A46" i="2"/>
  <c r="A63" i="2"/>
  <c r="B5" i="3"/>
  <c r="B13" i="3"/>
  <c r="B21" i="3"/>
  <c r="B29" i="3"/>
  <c r="B9" i="4"/>
  <c r="A5" i="6"/>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61" i="4"/>
  <c r="A17" i="2"/>
  <c r="A34" i="2"/>
  <c r="A52" i="2"/>
  <c r="A70" i="2"/>
  <c r="C7" i="3"/>
  <c r="C15" i="3"/>
  <c r="C23" i="3"/>
  <c r="C31" i="3"/>
  <c r="B15" i="4"/>
  <c r="A7" i="6"/>
  <c r="B28" i="4"/>
  <c r="A16" i="6"/>
  <c r="B40" i="4"/>
  <c r="B52" i="4"/>
  <c r="A36" i="6"/>
  <c r="F4" i="5"/>
  <c r="A2" i="2"/>
  <c r="A19" i="2"/>
  <c r="A37" i="2"/>
  <c r="A54" i="2"/>
  <c r="A72" i="2"/>
  <c r="C8" i="3"/>
  <c r="C16" i="3"/>
  <c r="C24" i="3"/>
  <c r="D2" i="4"/>
  <c r="B17" i="4"/>
  <c r="A9" i="6"/>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c r="B45" i="4"/>
  <c r="A30" i="6"/>
  <c r="I74" i="4"/>
  <c r="K4" i="5"/>
  <c r="A15" i="2"/>
  <c r="A32" i="2"/>
  <c r="A50" i="2"/>
  <c r="A66" i="2"/>
  <c r="C6" i="3"/>
  <c r="C14" i="3"/>
  <c r="C22" i="3"/>
  <c r="C30" i="3"/>
  <c r="B27" i="4"/>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62" i="4"/>
  <c r="A4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c r="B47" i="4"/>
  <c r="A32" i="6"/>
  <c r="B61" i="4"/>
  <c r="A43" i="6"/>
  <c r="B74" i="4"/>
  <c r="A53" i="6"/>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C12" i="6"/>
  <c r="I24" i="6"/>
  <c r="J35" i="6"/>
  <c r="I36" i="6"/>
  <c r="I44" i="6"/>
  <c r="J51" i="6"/>
  <c r="I52" i="6"/>
  <c r="J60" i="6"/>
  <c r="I62" i="6"/>
  <c r="I65" i="6"/>
  <c r="F5" i="7"/>
  <c r="B10" i="4"/>
  <c r="A6" i="6"/>
  <c r="B18" i="4"/>
  <c r="A10" i="6"/>
  <c r="G25" i="4"/>
  <c r="G31" i="4"/>
  <c r="B44" i="4"/>
  <c r="A29" i="6"/>
  <c r="B49" i="4"/>
  <c r="A33" i="6"/>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40" i="6"/>
  <c r="G40" i="6"/>
  <c r="B50" i="6"/>
  <c r="G50" i="6"/>
  <c r="B25" i="6"/>
  <c r="G25" i="6"/>
  <c r="B35" i="6"/>
  <c r="G35"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G20" i="6"/>
  <c r="H20" i="6"/>
  <c r="D20" i="6"/>
  <c r="B45" i="6"/>
  <c r="G45"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6" i="6"/>
  <c r="F3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c r="R379" i="5"/>
  <c r="E379" i="5"/>
  <c r="X379" i="5"/>
  <c r="H423" i="5"/>
  <c r="E423" i="5"/>
  <c r="X423" i="5"/>
  <c r="X30" i="5"/>
  <c r="X64" i="5"/>
  <c r="X68" i="5"/>
  <c r="X80" i="5"/>
  <c r="X343" i="5"/>
  <c r="X84"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D31" i="4"/>
  <c r="D49" i="4"/>
  <c r="E209" i="5"/>
  <c r="X209" i="5"/>
  <c r="J209" i="5"/>
  <c r="R209" i="5"/>
  <c r="F209" i="5"/>
  <c r="H209" i="5"/>
  <c r="I209" i="5"/>
  <c r="G1040" i="5"/>
  <c r="J1040" i="5"/>
  <c r="I1040" i="5"/>
  <c r="R1040" i="5"/>
  <c r="F1040" i="5"/>
  <c r="H1040" i="5"/>
  <c r="E1040" i="5"/>
  <c r="X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4" i="6" a="1"/>
  <c r="C11" i="6"/>
  <c r="C10" i="6"/>
  <c r="C9" i="6"/>
  <c r="C8" i="6"/>
  <c r="C7" i="6"/>
  <c r="C5" i="6"/>
  <c r="C6" i="6"/>
  <c r="C4" i="6"/>
  <c r="D67" i="4"/>
  <c r="D55" i="4"/>
  <c r="D43" i="4"/>
  <c r="D74" i="4"/>
  <c r="D37" i="4"/>
  <c r="B69" i="4"/>
  <c r="A50" i="6"/>
  <c r="B57" i="4"/>
  <c r="A40" i="6"/>
  <c r="A25" i="6"/>
  <c r="B63" i="4"/>
  <c r="A45" i="6"/>
  <c r="B51" i="4"/>
  <c r="A35" i="6"/>
  <c r="B58" i="4"/>
  <c r="A41" i="6"/>
  <c r="B70" i="4"/>
  <c r="A51" i="6"/>
  <c r="A26" i="6"/>
  <c r="D17" i="6"/>
  <c r="C17" i="6"/>
  <c r="B64" i="4"/>
  <c r="A46" i="6"/>
  <c r="B22" i="6"/>
  <c r="B42" i="6"/>
  <c r="G42" i="6"/>
  <c r="F22" i="6"/>
  <c r="D16" i="6"/>
  <c r="B36" i="6"/>
  <c r="G36" i="6"/>
  <c r="C16" i="6"/>
  <c r="B51" i="6"/>
  <c r="G51" i="6"/>
  <c r="G21" i="6"/>
  <c r="H21" i="6"/>
  <c r="D21" i="6"/>
  <c r="F26" i="6"/>
  <c r="B46" i="6"/>
  <c r="G46" i="6"/>
  <c r="B41" i="6"/>
  <c r="G41" i="6"/>
  <c r="C21" i="6"/>
  <c r="B26" i="6"/>
  <c r="G26" i="6"/>
  <c r="H30" i="6"/>
  <c r="D30" i="6"/>
  <c r="B67" i="4"/>
  <c r="A48" i="6"/>
  <c r="B83" i="4"/>
  <c r="A59" i="6"/>
  <c r="B79" i="4"/>
  <c r="A57" i="6"/>
  <c r="B85" i="4"/>
  <c r="A60" i="6"/>
  <c r="B75" i="4"/>
  <c r="A54" i="6"/>
  <c r="B81" i="4"/>
  <c r="A58" i="6"/>
  <c r="B31" i="4"/>
  <c r="A18" i="6"/>
  <c r="B87" i="4"/>
  <c r="A62" i="6"/>
  <c r="B55" i="4"/>
  <c r="A38" i="6"/>
  <c r="B89" i="4"/>
  <c r="A63" i="6"/>
  <c r="B37" i="4"/>
  <c r="A23" i="6"/>
  <c r="F45" i="6"/>
  <c r="H45" i="6"/>
  <c r="D45" i="6"/>
  <c r="H25" i="6"/>
  <c r="D25" i="6"/>
  <c r="F35" i="6"/>
  <c r="H35" i="6"/>
  <c r="D35" i="6"/>
  <c r="F40" i="6"/>
  <c r="H40" i="6"/>
  <c r="D40" i="6"/>
  <c r="F50" i="6"/>
  <c r="H50" i="6"/>
  <c r="D50" i="6"/>
  <c r="A15" i="6"/>
  <c r="B33" i="4"/>
  <c r="A20" i="6"/>
  <c r="D15" i="6"/>
  <c r="K66" i="6"/>
  <c r="C25" i="6"/>
  <c r="C20" i="6"/>
  <c r="C15" i="6"/>
  <c r="B49" i="6"/>
  <c r="G49" i="6"/>
  <c r="C14" i="6"/>
  <c r="B19" i="6"/>
  <c r="G14" i="6"/>
  <c r="H14" i="6"/>
  <c r="A17" i="6"/>
  <c r="B34" i="6"/>
  <c r="G34" i="6"/>
  <c r="B39" i="6"/>
  <c r="G39" i="6"/>
  <c r="C10" i="5"/>
  <c r="C8" i="5"/>
  <c r="B34" i="4"/>
  <c r="A21" i="6"/>
  <c r="A27" i="6"/>
  <c r="B68" i="4"/>
  <c r="A49" i="6"/>
  <c r="B10" i="5"/>
  <c r="C9" i="5"/>
  <c r="B9" i="5"/>
  <c r="G55" i="4"/>
  <c r="C7" i="5"/>
  <c r="B8" i="5"/>
  <c r="B7" i="5"/>
  <c r="B53" i="4"/>
  <c r="A37" i="6"/>
  <c r="B59" i="4"/>
  <c r="A42" i="6"/>
  <c r="B65" i="4"/>
  <c r="A47" i="6"/>
  <c r="A24" i="6"/>
  <c r="C6" i="5"/>
  <c r="F69" i="6"/>
  <c r="C69" i="6"/>
  <c r="G74" i="4"/>
  <c r="G67" i="4"/>
  <c r="B32" i="4"/>
  <c r="A19" i="6"/>
  <c r="B5" i="5"/>
  <c r="V5" i="5"/>
  <c r="G49" i="4"/>
  <c r="B50" i="4"/>
  <c r="A34" i="6"/>
  <c r="G37" i="4"/>
  <c r="G43" i="4"/>
  <c r="G61" i="4"/>
  <c r="B56" i="4"/>
  <c r="A39" i="6"/>
  <c r="B6" i="5"/>
  <c r="G64" i="6"/>
  <c r="C35" i="6"/>
  <c r="G22" i="6"/>
  <c r="H22" i="6"/>
  <c r="B32" i="6"/>
  <c r="G32" i="6"/>
  <c r="B47" i="6"/>
  <c r="G47" i="6"/>
  <c r="B37" i="6"/>
  <c r="G37" i="6"/>
  <c r="B52" i="6"/>
  <c r="G52" i="6"/>
  <c r="B27" i="6"/>
  <c r="G27" i="6"/>
  <c r="F27" i="6"/>
  <c r="V10" i="5"/>
  <c r="I10" i="5"/>
  <c r="F67" i="6"/>
  <c r="F41" i="6"/>
  <c r="H41" i="6"/>
  <c r="F31" i="6"/>
  <c r="H31" i="6"/>
  <c r="F51" i="6"/>
  <c r="H51" i="6"/>
  <c r="F46" i="6"/>
  <c r="H46" i="6"/>
  <c r="F36" i="6"/>
  <c r="H36" i="6"/>
  <c r="H26" i="6"/>
  <c r="K67" i="6"/>
  <c r="C40" i="6"/>
  <c r="C45" i="6"/>
  <c r="C30" i="6"/>
  <c r="C50" i="6"/>
  <c r="D14" i="6"/>
  <c r="G19" i="6"/>
  <c r="H19" i="6"/>
  <c r="F24" i="6"/>
  <c r="B29" i="6"/>
  <c r="G29" i="6"/>
  <c r="B24" i="6"/>
  <c r="G24" i="6"/>
  <c r="B44" i="6"/>
  <c r="G44" i="6"/>
  <c r="AB10" i="5"/>
  <c r="AB8" i="5"/>
  <c r="V7" i="5"/>
  <c r="G7" i="5"/>
  <c r="AB9" i="5"/>
  <c r="V9" i="5"/>
  <c r="V8" i="5"/>
  <c r="AB7" i="5"/>
  <c r="G5" i="5"/>
  <c r="J5" i="5"/>
  <c r="F5" i="5"/>
  <c r="E5" i="5"/>
  <c r="I5" i="5"/>
  <c r="H5" i="5"/>
  <c r="R5" i="5"/>
  <c r="AB5" i="5"/>
  <c r="AB6" i="5"/>
  <c r="V6" i="5"/>
  <c r="G65" i="6"/>
  <c r="G68" i="6"/>
  <c r="G67" i="6"/>
  <c r="H67" i="6"/>
  <c r="G66" i="6"/>
  <c r="H66" i="6"/>
  <c r="B64" i="6"/>
  <c r="H64" i="6"/>
  <c r="S5" i="5"/>
  <c r="D22" i="6"/>
  <c r="K68" i="6"/>
  <c r="C22" i="6"/>
  <c r="R10" i="5"/>
  <c r="F37" i="6"/>
  <c r="H37" i="6"/>
  <c r="H27" i="6"/>
  <c r="F42" i="6"/>
  <c r="H42" i="6"/>
  <c r="F68" i="6"/>
  <c r="H68" i="6"/>
  <c r="F32" i="6"/>
  <c r="H32" i="6"/>
  <c r="F47" i="6"/>
  <c r="H47" i="6"/>
  <c r="F52" i="6"/>
  <c r="H52" i="6"/>
  <c r="G10" i="5"/>
  <c r="E10" i="5"/>
  <c r="X10" i="5"/>
  <c r="F10" i="5"/>
  <c r="D36" i="6"/>
  <c r="C36" i="6"/>
  <c r="D26" i="6"/>
  <c r="C26" i="6"/>
  <c r="D46" i="6"/>
  <c r="C46" i="6"/>
  <c r="D51" i="6"/>
  <c r="C51" i="6"/>
  <c r="H10" i="5"/>
  <c r="D31" i="6"/>
  <c r="C31" i="6"/>
  <c r="J10" i="5"/>
  <c r="D41" i="6"/>
  <c r="C41" i="6"/>
  <c r="H65" i="6"/>
  <c r="D65" i="6"/>
  <c r="F65" i="6"/>
  <c r="F34" i="6"/>
  <c r="H34" i="6"/>
  <c r="F49" i="6"/>
  <c r="H49" i="6"/>
  <c r="F44" i="6"/>
  <c r="H44" i="6"/>
  <c r="F39" i="6"/>
  <c r="H39" i="6"/>
  <c r="F29" i="6"/>
  <c r="H29" i="6"/>
  <c r="F54" i="6"/>
  <c r="H24" i="6"/>
  <c r="D19" i="6"/>
  <c r="C19" i="6"/>
  <c r="K65" i="6"/>
  <c r="H9" i="5"/>
  <c r="E9" i="5"/>
  <c r="R9" i="5"/>
  <c r="J9" i="5"/>
  <c r="F9" i="5"/>
  <c r="I9" i="5"/>
  <c r="G9" i="5"/>
  <c r="R7" i="5"/>
  <c r="H7" i="5"/>
  <c r="E7" i="5"/>
  <c r="J7" i="5"/>
  <c r="I7" i="5"/>
  <c r="F7" i="5"/>
  <c r="I8" i="5"/>
  <c r="F8" i="5"/>
  <c r="E8" i="5"/>
  <c r="G8" i="5"/>
  <c r="H8" i="5"/>
  <c r="R8" i="5"/>
  <c r="J8" i="5"/>
  <c r="X5" i="5"/>
  <c r="G6" i="5"/>
  <c r="I6" i="5"/>
  <c r="H6" i="5"/>
  <c r="J6" i="5"/>
  <c r="R6" i="5"/>
  <c r="F6" i="5"/>
  <c r="E6" i="5"/>
  <c r="D66" i="6"/>
  <c r="C66" i="6"/>
  <c r="C67" i="6"/>
  <c r="D67" i="6"/>
  <c r="C64" i="6"/>
  <c r="D64" i="6"/>
  <c r="S10" i="5"/>
  <c r="T5" i="5"/>
  <c r="D68" i="6"/>
  <c r="C68" i="6"/>
  <c r="D47" i="6"/>
  <c r="C47" i="6"/>
  <c r="D42" i="6"/>
  <c r="C42" i="6"/>
  <c r="D27" i="6"/>
  <c r="C27" i="6"/>
  <c r="D37" i="6"/>
  <c r="C37" i="6"/>
  <c r="D52" i="6"/>
  <c r="C52" i="6"/>
  <c r="D32" i="6"/>
  <c r="C32" i="6"/>
  <c r="C65" i="6"/>
  <c r="D39" i="6"/>
  <c r="C39" i="6"/>
  <c r="F57" i="6"/>
  <c r="H57" i="6"/>
  <c r="F63" i="6"/>
  <c r="H63" i="6"/>
  <c r="F55" i="6"/>
  <c r="F60" i="6"/>
  <c r="H60" i="6"/>
  <c r="H54" i="6"/>
  <c r="F62" i="6"/>
  <c r="H62" i="6"/>
  <c r="F59" i="6"/>
  <c r="H59" i="6"/>
  <c r="F58" i="6"/>
  <c r="H58" i="6"/>
  <c r="D29" i="6"/>
  <c r="C29" i="6"/>
  <c r="D44" i="6"/>
  <c r="C44" i="6"/>
  <c r="D49" i="6"/>
  <c r="C49" i="6"/>
  <c r="D34" i="6"/>
  <c r="C34" i="6"/>
  <c r="B2" i="6"/>
  <c r="C2" i="6"/>
  <c r="D24" i="6"/>
  <c r="C24" i="6"/>
  <c r="X7" i="5"/>
  <c r="X8" i="5"/>
  <c r="X9" i="5"/>
  <c r="X6" i="5"/>
  <c r="G69" i="6" a="1"/>
  <c r="G69" i="6"/>
  <c r="H69" i="6"/>
  <c r="T10" i="5"/>
  <c r="S9" i="5"/>
  <c r="S7" i="5"/>
  <c r="S8" i="5"/>
  <c r="S6" i="5"/>
  <c r="T6" i="5"/>
  <c r="T9" i="5"/>
  <c r="T7" i="5"/>
  <c r="T8" i="5"/>
  <c r="D62" i="6"/>
  <c r="C62" i="6"/>
  <c r="D60" i="6"/>
  <c r="C60" i="6"/>
  <c r="H55" i="6"/>
  <c r="F56" i="6"/>
  <c r="H56" i="6"/>
  <c r="D63" i="6"/>
  <c r="C63" i="6"/>
  <c r="D54" i="6"/>
  <c r="C54" i="6"/>
  <c r="D57" i="6"/>
  <c r="C57" i="6"/>
  <c r="D58" i="6"/>
  <c r="C58" i="6"/>
  <c r="D59" i="6"/>
  <c r="C59" i="6"/>
  <c r="H70" i="6"/>
  <c r="D2" i="6"/>
  <c r="D56" i="6"/>
  <c r="C56" i="6"/>
  <c r="D55" i="6"/>
  <c r="C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<sst xmlns="http://schemas.openxmlformats.org/spreadsheetml/2006/main" count="22536" uniqueCount="15886">
  <si>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</si>
  <si>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</si>
  <si>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</si>
  <si>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</si>
  <si>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</si>
  <si>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</si>
  <si>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</si>
  <si>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</si>
  <si>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</si>
  <si>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</si>
  <si>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</si>
  <si>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</si>
  <si>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</si>
  <si>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</si>
  <si>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</si>
  <si>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</si>
  <si>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</si>
  <si>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</si>
  <si>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</si>
  <si>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</si>
  <si>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</si>
  <si>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</si>
  <si>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</si>
  <si>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</si>
  <si>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</si>
  <si>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</si>
  <si>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</si>
  <si>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</si>
  <si>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</si>
  <si>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</si>
  <si>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</si>
  <si>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</si>
  <si>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</si>
  <si>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</si>
  <si>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</si>
  <si>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</si>
  <si>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</si>
  <si>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</si>
  <si>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</si>
  <si>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</si>
  <si>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</si>
  <si>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</si>
  <si>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</si>
  <si>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</si>
  <si>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</si>
  <si>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</si>
  <si>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</si>
  <si>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</si>
  <si>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</si>
  <si>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</si>
  <si>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</si>
  <si>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</si>
  <si>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</si>
  <si>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</si>
  <si>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</si>
  <si>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</si>
  <si>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</si>
  <si>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</si>
  <si>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</si>
  <si>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</si>
  <si>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</si>
  <si>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</si>
  <si>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</si>
  <si>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</si>
  <si>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</si>
  <si>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</si>
  <si>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</si>
  <si>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</si>
  <si>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</si>
  <si>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</si>
  <si>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</si>
  <si>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</si>
  <si>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</si>
  <si>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</si>
  <si>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</si>
  <si>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</si>
  <si>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</si>
  <si>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</si>
  <si>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</si>
  <si>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</si>
  <si>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</si>
  <si>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</si>
  <si>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</si>
  <si>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</si>
  <si>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</si>
  <si>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</si>
  <si>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</si>
  <si>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</si>
  <si>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</si>
  <si>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</si>
  <si>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</si>
  <si>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</si>
  <si>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</si>
  <si>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</si>
  <si>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</si>
  <si>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</si>
  <si>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</si>
  <si>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</si>
  <si>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</si>
  <si>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</si>
  <si>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</si>
  <si>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</si>
  <si>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</si>
  <si>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</si>
  <si>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</si>
  <si>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</si>
  <si>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</si>
  <si>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</si>
  <si>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</si>
  <si>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</si>
  <si>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</si>
  <si>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</si>
  <si>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</si>
  <si>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</si>
  <si>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</si>
  <si>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</si>
  <si>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</si>
  <si>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</si>
  <si>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</si>
  <si>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</si>
  <si>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</si>
  <si>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</si>
  <si>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</si>
  <si>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</si>
  <si>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</si>
  <si>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</si>
  <si>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</si>
  <si>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</si>
  <si>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</si>
  <si>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</si>
  <si>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</si>
  <si>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</si>
  <si>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</si>
  <si>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</si>
  <si>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</si>
  <si>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</si>
  <si>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</si>
  <si>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</si>
  <si>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</si>
  <si>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</si>
  <si>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</si>
  <si>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</si>
  <si>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</si>
  <si>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</si>
  <si>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</si>
  <si>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</si>
  <si>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</si>
  <si>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</si>
  <si>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</si>
  <si>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</si>
  <si>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</si>
  <si>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</si>
  <si>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</si>
  <si>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</si>
  <si>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</si>
  <si>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</si>
  <si>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</si>
  <si>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</si>
  <si>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</si>
  <si>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</si>
  <si>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</si>
  <si>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</si>
  <si>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</si>
  <si>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</si>
  <si>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</si>
  <si>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</si>
  <si>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</si>
  <si>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</si>
  <si>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</si>
  <si>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</si>
  <si>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</si>
  <si>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</si>
  <si>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</si>
  <si>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</si>
  <si>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</si>
  <si>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</si>
  <si>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</si>
  <si>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</si>
  <si>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</si>
  <si>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</si>
  <si>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</si>
  <si>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</si>
  <si>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</si>
  <si>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</si>
  <si>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</si>
  <si>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</si>
  <si>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</si>
  <si>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</si>
  <si>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</si>
  <si>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</si>
  <si>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</si>
  <si>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</si>
  <si>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</si>
  <si>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</si>
  <si>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</si>
  <si>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</si>
  <si>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</si>
  <si>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</si>
  <si>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</si>
  <si>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</si>
  <si>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</si>
  <si>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</si>
  <si>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</si>
  <si>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</si>
  <si>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</si>
  <si>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</si>
  <si>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</si>
  <si>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</si>
  <si>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</si>
  <si>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</si>
  <si>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</si>
  <si>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</si>
  <si>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</si>
  <si>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</si>
  <si>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</si>
  <si>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</si>
  <si>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</si>
  <si>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</si>
  <si>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</si>
  <si>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</si>
  <si>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</si>
  <si>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</si>
  <si>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</si>
  <si>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</si>
  <si>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</si>
  <si>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</si>
  <si>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</si>
  <si>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</si>
  <si>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</si>
  <si>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</si>
  <si>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</si>
  <si>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</si>
  <si>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</si>
  <si>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</si>
  <si>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</si>
  <si>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</si>
  <si>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</si>
  <si>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</si>
  <si>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</si>
  <si>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</si>
  <si>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</si>
  <si>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</si>
  <si>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</si>
  <si>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</si>
  <si>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</si>
  <si>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</si>
  <si>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</si>
  <si>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</si>
  <si>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</si>
  <si>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</si>
  <si>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</si>
  <si>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</si>
  <si>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</si>
  <si>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</si>
  <si>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</si>
  <si>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</si>
  <si>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</si>
  <si>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</si>
  <si>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</si>
  <si>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</si>
  <si>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</si>
  <si>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</si>
  <si>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</si>
  <si>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</si>
  <si>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</si>
  <si>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</si>
  <si>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</si>
  <si>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</si>
  <si>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</si>
  <si>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</si>
  <si>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</si>
  <si>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</si>
  <si>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</si>
  <si>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</si>
  <si>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</si>
  <si>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</si>
  <si>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</si>
  <si>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</si>
  <si>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</si>
  <si>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</si>
  <si>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</si>
  <si>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</si>
  <si>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</si>
  <si>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</si>
  <si>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</si>
  <si>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</si>
  <si>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</si>
  <si>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</si>
  <si>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</si>
  <si>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</si>
  <si>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</si>
  <si>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</si>
  <si>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</si>
  <si>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</si>
  <si>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</si>
  <si>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</si>
  <si>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</si>
  <si>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</si>
  <si>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</si>
  <si>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</si>
  <si>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</si>
  <si>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</si>
  <si>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</si>
  <si>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</si>
  <si>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</si>
  <si>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</si>
  <si>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</si>
  <si>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</si>
  <si>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</si>
  <si>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</si>
  <si>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</si>
  <si>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</si>
  <si>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</si>
  <si>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</si>
  <si>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</si>
  <si>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</si>
  <si>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</si>
  <si>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</si>
  <si>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</si>
  <si>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</si>
  <si>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</si>
  <si>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</si>
  <si>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</si>
  <si>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</si>
  <si>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</si>
  <si>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</si>
  <si>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</si>
  <si>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</si>
  <si>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</si>
  <si>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</si>
  <si>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</si>
  <si>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</si>
  <si>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</si>
  <si>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</si>
  <si>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</si>
  <si>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</si>
  <si>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</si>
  <si>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</si>
  <si>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</si>
  <si>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</si>
  <si>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</si>
  <si>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</si>
  <si>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</si>
  <si>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</si>
  <si>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</si>
  <si>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</si>
  <si>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</si>
  <si>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</si>
  <si>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</si>
  <si>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</si>
  <si>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</si>
  <si>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</si>
  <si>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</si>
  <si>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</si>
  <si>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</si>
  <si>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</si>
  <si>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</si>
  <si>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</si>
  <si>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</si>
  <si>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</si>
  <si>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</si>
  <si>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</si>
  <si>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</si>
  <si>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</si>
  <si>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</si>
  <si>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</si>
  <si>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</si>
  <si>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</si>
  <si>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</si>
  <si>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</si>
  <si>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</si>
  <si>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</si>
  <si>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</si>
  <si>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</si>
  <si>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</si>
  <si>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</si>
  <si>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</si>
  <si>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</si>
  <si>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</si>
  <si>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</si>
  <si>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</si>
  <si>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</si>
  <si>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</si>
  <si>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</si>
  <si>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</si>
  <si>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</si>
  <si>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</si>
  <si>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</si>
  <si>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</si>
  <si>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</si>
  <si>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</si>
  <si>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</si>
  <si>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</si>
  <si>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</si>
  <si>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</si>
  <si>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</si>
  <si>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</si>
  <si>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</si>
  <si>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</si>
  <si>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</si>
  <si>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</si>
  <si>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</si>
  <si>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</si>
  <si>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</si>
  <si>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</si>
  <si>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</si>
  <si>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</si>
  <si>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</si>
  <si>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</si>
  <si>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</si>
  <si>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</si>
  <si>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</si>
  <si>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</si>
  <si>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</si>
  <si>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</si>
  <si>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</si>
  <si>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</si>
  <si>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</si>
  <si>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</si>
  <si>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</si>
  <si>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</si>
  <si>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</si>
  <si>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</si>
  <si>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</si>
  <si>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</si>
  <si>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</si>
  <si>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</si>
  <si>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</si>
  <si>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</si>
  <si>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</si>
  <si>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</si>
  <si>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</si>
  <si>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</si>
  <si>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</si>
  <si>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</si>
  <si>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</si>
  <si>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</si>
  <si>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</si>
  <si>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</si>
  <si>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</si>
  <si>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</si>
  <si>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</si>
  <si>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</si>
  <si>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</si>
  <si>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</si>
  <si>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</si>
  <si>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</si>
  <si>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</si>
  <si>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</si>
  <si>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</si>
  <si>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</si>
  <si>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</si>
  <si>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</si>
  <si>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</si>
  <si>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</si>
  <si>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</si>
  <si>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</si>
  <si>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</si>
  <si>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</si>
  <si>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</si>
  <si>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</si>
  <si>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</si>
  <si>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</si>
  <si>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</si>
  <si>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</si>
  <si>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</si>
  <si>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</si>
  <si>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</si>
  <si>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</si>
  <si>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</si>
  <si>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</si>
  <si>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</si>
  <si>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</si>
  <si>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</si>
  <si>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</si>
  <si>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</si>
  <si>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</si>
  <si>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</si>
  <si>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</si>
  <si>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</si>
  <si>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</si>
  <si>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</si>
  <si>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</si>
  <si>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</si>
  <si>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</si>
  <si>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</si>
  <si>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</si>
  <si>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</si>
  <si>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</si>
  <si>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</si>
  <si>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</si>
  <si>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</si>
  <si>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</si>
  <si>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</si>
  <si>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</si>
  <si>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</si>
  <si>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</si>
  <si>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</si>
  <si>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</si>
  <si>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</si>
  <si>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</si>
  <si>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</si>
  <si>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</si>
  <si>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</si>
  <si>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</si>
  <si>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</si>
  <si>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</si>
  <si>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</si>
  <si>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</si>
  <si>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</si>
  <si>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</si>
  <si>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</si>
  <si>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</si>
  <si>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</si>
  <si>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</si>
  <si>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</si>
  <si>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</si>
  <si>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</si>
  <si>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</si>
  <si>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</si>
  <si>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</si>
  <si>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</si>
  <si>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</si>
  <si>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</si>
  <si>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</si>
  <si>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</si>
  <si>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</si>
  <si>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</si>
  <si>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</si>
  <si>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</si>
  <si>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</si>
  <si>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</si>
  <si>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</si>
  <si>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</si>
  <si>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</si>
  <si>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</si>
  <si>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</si>
  <si>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</si>
  <si>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</si>
  <si>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</si>
  <si>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</si>
  <si>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</si>
  <si>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</si>
  <si>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</si>
  <si>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</si>
  <si>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</si>
  <si>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</si>
  <si>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</si>
  <si>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</si>
  <si>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</si>
  <si>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</si>
  <si>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</si>
  <si>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</si>
  <si>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</si>
  <si>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</si>
  <si>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</si>
  <si>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</si>
  <si>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</si>
  <si>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</si>
  <si>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</si>
  <si>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</si>
  <si>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</si>
  <si>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</si>
  <si>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</si>
  <si>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</si>
  <si>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</si>
  <si>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</si>
  <si>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</si>
  <si>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</si>
  <si>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</si>
  <si>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</si>
  <si>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</si>
  <si>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</si>
  <si>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</si>
  <si>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</si>
  <si>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</si>
  <si>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</si>
  <si>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</si>
  <si>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</si>
  <si>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</si>
  <si>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</si>
  <si>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</si>
  <si>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</si>
  <si>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</si>
  <si>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</si>
  <si>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</si>
  <si>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</si>
  <si>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</si>
  <si>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</si>
  <si>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</si>
  <si>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</si>
  <si>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</si>
  <si>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</si>
  <si>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</si>
  <si>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</si>
  <si>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</si>
  <si>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</si>
  <si>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</si>
  <si>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</si>
  <si>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</si>
  <si>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</si>
  <si>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</si>
  <si>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</si>
  <si>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</si>
  <si>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</si>
  <si>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</si>
  <si>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</si>
  <si>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</si>
  <si>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</si>
  <si>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</si>
  <si>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</si>
  <si>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</si>
  <si>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</si>
  <si>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</si>
  <si>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</si>
  <si>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</si>
  <si>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</si>
  <si>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</si>
  <si>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</si>
  <si>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</si>
  <si>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</si>
  <si>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</si>
  <si>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</si>
  <si>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</si>
  <si>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</si>
  <si>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</si>
  <si>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</si>
  <si>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</si>
  <si>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</si>
  <si>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</si>
  <si>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</si>
  <si>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</si>
  <si>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</si>
  <si>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</si>
  <si>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</si>
  <si>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</si>
  <si>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</si>
  <si>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</si>
  <si>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</si>
  <si>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</si>
  <si>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</si>
  <si>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</si>
  <si>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</si>
  <si>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</si>
  <si>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</si>
  <si>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</si>
  <si>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</si>
  <si>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</si>
  <si>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</si>
  <si>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</si>
  <si>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</si>
  <si>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</si>
  <si>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</si>
  <si>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</si>
  <si>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</si>
  <si>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</si>
  <si>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</si>
  <si>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</si>
  <si>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</si>
  <si>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</si>
  <si>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</si>
  <si>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</si>
  <si>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</si>
  <si>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</si>
  <si>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</si>
  <si>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</si>
  <si>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</si>
  <si>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</si>
  <si>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</si>
  <si>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</si>
  <si>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</si>
  <si>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</si>
  <si>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</si>
  <si>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</si>
  <si>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</si>
  <si>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</si>
  <si>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</si>
  <si>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</si>
  <si>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</si>
  <si>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</si>
  <si>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</si>
  <si>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</si>
  <si>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</si>
  <si>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</si>
  <si>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</si>
  <si>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</si>
  <si>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</si>
  <si>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</si>
  <si>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</si>
  <si>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</si>
  <si>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</si>
  <si>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</si>
  <si>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</si>
  <si>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</si>
  <si>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</si>
  <si>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</si>
  <si>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</si>
  <si>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</si>
  <si>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</si>
  <si>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</si>
  <si>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</si>
  <si>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</si>
  <si>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</si>
  <si>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</si>
  <si>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</si>
  <si>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</si>
  <si>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</si>
  <si>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</si>
  <si>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</si>
  <si>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</si>
  <si>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</si>
  <si>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</si>
  <si>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</si>
  <si>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</si>
  <si>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</si>
  <si>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</si>
  <si>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</si>
  <si>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</si>
  <si>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</si>
  <si>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</si>
  <si>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</si>
  <si>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</si>
  <si>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</si>
  <si>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</si>
  <si>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</si>
  <si>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</si>
  <si>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</si>
  <si>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</si>
  <si>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</si>
  <si>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</si>
  <si>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</si>
  <si>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</si>
  <si>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</si>
  <si>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</si>
  <si>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</si>
  <si>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</si>
  <si>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</si>
  <si>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</si>
  <si>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</si>
  <si>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</si>
  <si>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</si>
  <si>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</si>
  <si>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</si>
  <si>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</si>
  <si>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</si>
  <si>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</si>
  <si>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</si>
  <si>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</si>
  <si>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</si>
  <si>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</si>
  <si>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</si>
  <si>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</si>
  <si>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</si>
  <si>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</si>
  <si>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</si>
  <si>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</si>
  <si>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</si>
  <si>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</si>
  <si>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</si>
  <si>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</si>
  <si>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</si>
  <si>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</si>
  <si>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</si>
  <si>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</si>
  <si>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</si>
  <si>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</si>
  <si>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</si>
  <si>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</si>
  <si>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</si>
  <si>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</si>
  <si>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</si>
  <si>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</si>
  <si>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</si>
  <si>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</si>
  <si>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</si>
  <si>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</si>
  <si>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</si>
  <si>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</si>
  <si>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</si>
  <si>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</si>
  <si>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</si>
  <si>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</si>
  <si>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</si>
  <si>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</si>
  <si>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</si>
  <si>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</si>
  <si>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</si>
  <si>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</si>
  <si>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</si>
  <si>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</si>
  <si>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</si>
  <si>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</si>
  <si>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</si>
  <si>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</si>
  <si>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</si>
  <si>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</si>
  <si>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</si>
  <si>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</si>
  <si>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</si>
  <si>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</si>
  <si>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</si>
  <si>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</si>
  <si>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</si>
  <si>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</si>
  <si>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</si>
  <si>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</si>
  <si>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</si>
  <si>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</si>
  <si>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</si>
  <si>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</si>
  <si>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</si>
  <si>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</si>
  <si>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</si>
  <si>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</si>
  <si>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</si>
  <si>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</si>
  <si>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</si>
  <si>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</si>
  <si>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</si>
  <si>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</si>
  <si>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</si>
  <si>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</si>
  <si>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</si>
  <si>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</si>
  <si>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</si>
  <si>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</si>
  <si>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</si>
  <si>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</si>
  <si>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</si>
  <si>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</si>
  <si>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</si>
  <si>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</si>
  <si>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</si>
  <si>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</si>
  <si>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</si>
  <si>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</si>
  <si>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</si>
  <si>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</si>
  <si>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</si>
  <si>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</si>
  <si>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</si>
  <si>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</si>
  <si>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</si>
  <si>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</si>
  <si>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</si>
  <si>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</si>
  <si>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</si>
  <si>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</si>
  <si>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</si>
  <si>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</si>
  <si>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</si>
  <si>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</si>
  <si>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</si>
  <si>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</si>
  <si>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</si>
  <si>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</si>
  <si>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</si>
  <si>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</si>
  <si>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</si>
  <si>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</si>
  <si>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</si>
  <si>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</si>
  <si>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</si>
  <si>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</si>
  <si>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</si>
  <si>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</si>
  <si>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</si>
  <si>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</si>
  <si>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</si>
  <si>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</si>
  <si>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</si>
  <si>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</si>
  <si>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</si>
  <si>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</si>
  <si>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</si>
  <si>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</si>
  <si>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</si>
  <si>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</si>
  <si>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</si>
  <si>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</si>
  <si>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</si>
  <si>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</si>
  <si>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</si>
  <si>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</si>
  <si>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</si>
  <si>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</si>
  <si>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</si>
  <si>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</si>
  <si>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</si>
  <si>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</si>
  <si>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</si>
  <si>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</si>
  <si>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</si>
  <si>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</si>
  <si>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</si>
  <si>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</si>
  <si>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</si>
  <si>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</si>
  <si>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</si>
  <si>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</si>
  <si>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</si>
  <si>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</si>
  <si>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</si>
  <si>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</si>
  <si>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</si>
  <si>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</si>
  <si>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</si>
  <si>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</si>
  <si>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</si>
  <si>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</si>
  <si>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</si>
  <si>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</si>
  <si>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</si>
  <si>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</si>
  <si>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</si>
  <si>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</si>
  <si>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</si>
  <si>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</si>
  <si>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</si>
  <si>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</si>
  <si>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</si>
  <si>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</si>
  <si>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</si>
  <si>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</si>
  <si>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</si>
  <si>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</si>
  <si>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</si>
  <si>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</si>
  <si>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</si>
  <si>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</si>
  <si>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</si>
  <si>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</si>
  <si>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</si>
  <si>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</si>
  <si>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</si>
  <si>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</si>
  <si>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</si>
  <si>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</si>
  <si>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</si>
  <si>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</si>
  <si>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</si>
  <si>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</si>
  <si>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</si>
  <si>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</si>
  <si>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</si>
  <si>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</si>
  <si>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</si>
  <si>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</si>
  <si>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</si>
  <si>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</si>
  <si>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</si>
  <si>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</si>
  <si>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</si>
  <si>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</si>
  <si>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</si>
  <si>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</si>
  <si>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</si>
  <si>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</si>
  <si>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</si>
  <si>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</si>
  <si>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</si>
  <si>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</si>
  <si>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</si>
  <si>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</si>
  <si>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</si>
  <si>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</si>
  <si>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</si>
  <si>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</si>
  <si>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</si>
  <si>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</si>
  <si>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</si>
  <si>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</si>
  <si>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</si>
  <si>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</si>
  <si>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</si>
  <si>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</si>
  <si>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</si>
  <si>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</si>
  <si>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</si>
  <si>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</si>
  <si>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</si>
  <si>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</si>
  <si>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</si>
  <si>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</si>
  <si>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</si>
  <si>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</si>
  <si>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</si>
  <si>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</si>
  <si>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</si>
  <si>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</si>
  <si>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</si>
  <si>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</si>
  <si>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</si>
  <si>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</si>
  <si>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</si>
  <si>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</si>
  <si>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</si>
  <si>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</si>
  <si>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</si>
  <si>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</si>
  <si>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</si>
  <si>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</si>
  <si>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</si>
  <si>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</si>
  <si>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</si>
  <si>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</si>
  <si>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</si>
  <si>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</si>
  <si>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</si>
  <si>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</si>
  <si>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</si>
  <si>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</si>
  <si>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</si>
  <si>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</si>
  <si>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</si>
  <si>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</si>
  <si>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</si>
  <si>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</si>
  <si>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</si>
  <si>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</si>
  <si>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</si>
  <si>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</si>
  <si>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</si>
  <si>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</si>
  <si>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</si>
  <si>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</si>
  <si>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</si>
  <si>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</si>
  <si>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</si>
  <si>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</si>
  <si>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</si>
  <si>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</si>
  <si>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</si>
  <si>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</si>
  <si>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</si>
  <si>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</si>
  <si>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</si>
  <si>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</si>
  <si>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</si>
  <si>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</si>
  <si>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</si>
  <si>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</si>
  <si>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</si>
  <si>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</si>
  <si>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</si>
  <si>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</si>
  <si>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</si>
  <si>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</si>
  <si>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</si>
  <si>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</si>
  <si>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</si>
  <si>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</si>
  <si>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</si>
  <si>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</si>
  <si>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</si>
  <si>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</si>
  <si>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</si>
  <si>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</si>
  <si>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</si>
  <si>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</si>
  <si>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</si>
  <si>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</si>
  <si>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</si>
  <si>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</si>
  <si>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</si>
  <si>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</si>
  <si>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</si>
  <si>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</si>
  <si>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</si>
  <si>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</si>
  <si>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</si>
  <si>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</si>
  <si>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</si>
  <si>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</si>
  <si>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</si>
  <si>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</si>
  <si>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</si>
  <si>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</si>
  <si>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</si>
  <si>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</si>
  <si>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</si>
  <si>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</si>
  <si>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</si>
  <si>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</si>
  <si>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</si>
  <si>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</si>
  <si>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</si>
  <si>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</si>
  <si>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</si>
  <si>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</si>
  <si>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</si>
  <si>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</si>
  <si>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</si>
  <si>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</si>
  <si>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</si>
  <si>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</si>
  <si>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</si>
  <si>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</si>
  <si>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</si>
  <si>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</si>
  <si>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</si>
  <si>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</si>
  <si>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</si>
  <si>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</si>
  <si>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</si>
  <si>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</si>
  <si>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</si>
  <si>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</si>
  <si>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</si>
  <si>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</si>
  <si>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</si>
  <si>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</si>
  <si>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</si>
  <si>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</si>
  <si>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</si>
  <si>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</si>
  <si>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</si>
  <si>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</si>
  <si>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</si>
  <si>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</si>
  <si>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</si>
  <si>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</si>
  <si>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</si>
  <si>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</si>
  <si>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</si>
  <si>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</si>
  <si>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</si>
  <si>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</si>
  <si>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</si>
  <si>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</si>
  <si>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</si>
  <si>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</si>
  <si>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</si>
  <si>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</si>
  <si>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</si>
  <si>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</si>
  <si>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</si>
  <si>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</si>
  <si>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</si>
  <si>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</si>
  <si>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</si>
  <si>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</si>
  <si>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</si>
  <si>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</si>
  <si>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</si>
  <si>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</si>
  <si>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</si>
  <si>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</si>
  <si>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</si>
  <si>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</si>
  <si>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</si>
  <si>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</si>
  <si>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</si>
  <si>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</si>
  <si>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</si>
  <si>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</si>
  <si>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</si>
  <si>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</si>
  <si>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</si>
  <si>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</si>
  <si>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</si>
  <si>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</si>
  <si>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</si>
  <si>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</si>
  <si>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</si>
  <si>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</si>
  <si>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</si>
  <si>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</si>
  <si>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</si>
  <si>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</si>
  <si>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</si>
  <si>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</si>
  <si>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</si>
  <si>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</si>
  <si>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</si>
  <si>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</si>
  <si>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</si>
  <si>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</si>
  <si>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</si>
  <si>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</si>
  <si>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</si>
  <si>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</si>
  <si>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</si>
  <si>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</si>
  <si>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</si>
  <si>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</si>
  <si>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</si>
  <si>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</si>
  <si>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</si>
  <si>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</si>
  <si>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</si>
  <si>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</si>
  <si>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</si>
  <si>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</si>
  <si>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</si>
  <si>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</si>
  <si>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</si>
  <si>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</si>
  <si>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</si>
  <si>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</si>
  <si>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</si>
  <si>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</si>
  <si>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</si>
  <si>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</si>
  <si>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</si>
  <si>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</si>
  <si>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</si>
  <si>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</si>
  <si>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</si>
  <si>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</si>
  <si>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</si>
  <si>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</si>
  <si>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</si>
  <si>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</si>
  <si>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</si>
  <si>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</si>
  <si>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</si>
  <si>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</si>
  <si>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</si>
  <si>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</si>
  <si>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</si>
  <si>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</si>
  <si>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</si>
  <si>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</si>
  <si>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</si>
  <si>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</si>
  <si>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</si>
  <si>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</si>
  <si>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</si>
  <si>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</si>
  <si>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</si>
  <si>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</si>
  <si>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</si>
  <si>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</si>
  <si>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</si>
  <si>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</si>
  <si>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</si>
  <si>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</si>
  <si>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</si>
  <si>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</si>
  <si>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</si>
  <si>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</si>
  <si>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</si>
  <si>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</si>
  <si>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</si>
  <si>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</si>
  <si>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</si>
  <si>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</si>
  <si>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</si>
  <si>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</si>
  <si>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</si>
  <si>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</si>
  <si>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</si>
  <si>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</si>
  <si>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</si>
  <si>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</si>
  <si>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</si>
  <si>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</si>
  <si>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</si>
  <si>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</si>
  <si>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</si>
  <si>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</si>
  <si>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</si>
  <si>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</si>
  <si>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</si>
  <si>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</si>
  <si>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</si>
  <si>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</si>
  <si>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</si>
  <si>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</si>
  <si>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</si>
  <si>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</si>
  <si>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</si>
  <si>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</si>
  <si>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</si>
  <si>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</si>
  <si>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</si>
  <si>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</si>
  <si>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</si>
  <si>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</si>
  <si>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</si>
  <si>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</si>
  <si>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</si>
  <si>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</si>
  <si>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</si>
  <si>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</si>
  <si>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</si>
  <si>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</si>
  <si>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</si>
  <si>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</si>
  <si>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</si>
  <si>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</si>
  <si>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</si>
  <si>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</si>
  <si>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</si>
  <si>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</si>
  <si>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</si>
  <si>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</si>
  <si>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</si>
  <si>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</si>
  <si>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</si>
  <si>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</si>
  <si>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</si>
  <si>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</si>
  <si>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</si>
  <si>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</si>
  <si>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</si>
  <si>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</si>
  <si>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</si>
  <si>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</si>
  <si>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</si>
  <si>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</si>
  <si>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</si>
  <si>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</si>
  <si>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</si>
  <si>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</si>
  <si>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</si>
  <si>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</si>
  <si>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</si>
  <si>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</si>
  <si>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</si>
  <si>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</si>
  <si>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</si>
  <si>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</si>
  <si>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</si>
  <si>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</si>
  <si>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</si>
  <si>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</si>
  <si>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</si>
  <si>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</si>
  <si>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</si>
  <si>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</si>
  <si>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</si>
  <si>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</si>
  <si>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</si>
  <si>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</si>
  <si>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</si>
  <si>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</si>
  <si>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</si>
  <si>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</si>
  <si>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</si>
  <si>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</si>
  <si>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</si>
  <si>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</si>
  <si>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</si>
  <si>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</si>
  <si>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</si>
  <si>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</si>
  <si>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</si>
  <si>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</si>
  <si>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</si>
  <si>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</si>
  <si>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</si>
  <si>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</si>
  <si>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</si>
  <si>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</si>
  <si>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</si>
  <si>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</si>
  <si>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</si>
  <si>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</si>
  <si>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</si>
  <si>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</si>
  <si>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</si>
  <si>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</si>
  <si>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</si>
  <si>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</si>
  <si>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</si>
  <si>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</si>
  <si>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</si>
  <si>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</si>
  <si>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</si>
  <si>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</si>
  <si>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</si>
  <si>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</si>
  <si>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</si>
  <si>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</si>
  <si>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</si>
  <si>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</si>
  <si>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</si>
  <si>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</si>
  <si>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</si>
  <si>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</si>
  <si>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</si>
  <si>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</si>
  <si>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</si>
  <si>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</si>
  <si>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</si>
  <si>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</si>
  <si>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</si>
  <si>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</si>
  <si>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</si>
  <si>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</si>
  <si>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</si>
  <si>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</si>
  <si>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</si>
  <si>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</si>
  <si>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</si>
  <si>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</si>
  <si>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</si>
  <si>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</si>
  <si>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</si>
  <si>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</si>
  <si>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</si>
  <si>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</si>
  <si>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</si>
  <si>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</si>
  <si>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</si>
  <si>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</si>
  <si>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</si>
  <si>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</si>
  <si>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</si>
  <si>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</si>
  <si>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</si>
  <si>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</si>
  <si>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</si>
  <si>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</si>
  <si>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</si>
  <si>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</si>
  <si>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</si>
  <si>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</si>
  <si>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</si>
  <si>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</si>
  <si>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</si>
  <si>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</si>
  <si>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</si>
  <si>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</si>
  <si>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</si>
  <si>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</si>
  <si>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</si>
  <si>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</si>
  <si>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</si>
  <si>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</si>
  <si>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</si>
  <si>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</si>
  <si>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</si>
  <si>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</si>
  <si>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</si>
  <si>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</si>
  <si>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</si>
  <si>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</si>
  <si>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</si>
  <si>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</si>
  <si>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</si>
  <si>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</si>
  <si>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</si>
  <si>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</si>
  <si>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</si>
  <si>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</si>
  <si>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</si>
  <si>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</si>
  <si>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</si>
  <si>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</si>
  <si>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</si>
  <si>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</si>
  <si>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</si>
  <si>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</si>
  <si>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</si>
  <si>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</si>
  <si>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</si>
  <si>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</si>
  <si>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</si>
  <si>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</si>
  <si>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</si>
  <si>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</si>
  <si>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</si>
  <si>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</si>
  <si>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</si>
  <si>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</si>
  <si>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</si>
  <si>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</si>
  <si>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</si>
  <si>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</si>
  <si>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</si>
  <si>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</si>
  <si>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</si>
  <si>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</si>
  <si>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</si>
  <si>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</si>
  <si>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</si>
  <si>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</si>
  <si>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</si>
  <si>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</si>
  <si>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</si>
  <si>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</si>
  <si>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</si>
  <si>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</si>
  <si>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</si>
  <si>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</si>
  <si>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</si>
  <si>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</si>
  <si>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</si>
  <si>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</si>
  <si>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</si>
  <si>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</si>
  <si>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</si>
  <si>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</si>
  <si>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</si>
  <si>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</si>
  <si>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</si>
  <si>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</si>
  <si>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</si>
  <si>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</si>
  <si>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</si>
  <si>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</si>
  <si>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</si>
  <si>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</si>
  <si>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</si>
  <si>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</si>
  <si>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</si>
  <si>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</si>
  <si>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</si>
  <si>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</si>
  <si>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</si>
  <si>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</si>
  <si>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</si>
  <si>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</si>
  <si>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</si>
  <si>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</si>
  <si>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</si>
  <si>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</si>
  <si>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</si>
  <si>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</si>
  <si>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</si>
  <si>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</si>
  <si>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</si>
  <si>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</si>
  <si>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</si>
  <si>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</si>
  <si>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</si>
  <si>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</si>
  <si>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</si>
  <si>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</si>
  <si>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</si>
  <si>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</si>
  <si>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</si>
  <si>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</si>
  <si>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</si>
  <si>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</si>
  <si>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</si>
  <si>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</si>
  <si>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</si>
  <si>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</si>
  <si>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</si>
  <si>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</si>
  <si>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</si>
  <si>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</si>
  <si>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</si>
  <si>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</si>
  <si>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</si>
  <si>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</si>
  <si>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</si>
  <si>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</si>
  <si>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</si>
  <si>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</si>
  <si>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</si>
  <si>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</si>
  <si>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</si>
  <si>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</si>
  <si>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</si>
  <si>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</si>
  <si>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</si>
  <si>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</si>
  <si>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</si>
  <si>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</si>
  <si>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</si>
  <si>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</si>
  <si>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</si>
  <si>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</si>
  <si>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</si>
  <si>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</si>
  <si>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</si>
  <si>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</si>
  <si>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</si>
  <si>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</si>
  <si>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</si>
  <si>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</si>
  <si>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</si>
  <si>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</si>
  <si>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</si>
  <si>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</si>
  <si>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</si>
  <si>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</si>
  <si>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</si>
  <si>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</si>
  <si>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</si>
  <si>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</si>
  <si>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</si>
  <si>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</si>
  <si>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</si>
  <si>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</si>
  <si>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</si>
  <si>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</si>
  <si>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</si>
  <si>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</si>
  <si>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</si>
  <si>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</si>
  <si>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</si>
  <si>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</si>
  <si>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</si>
  <si>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</si>
  <si>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</si>
  <si>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</si>
  <si>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</si>
  <si>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</si>
  <si>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</si>
  <si>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</si>
  <si>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</si>
  <si>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</si>
  <si>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</si>
  <si>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</si>
  <si>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</si>
  <si>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</si>
  <si>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</si>
  <si>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</si>
  <si>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</si>
  <si>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</si>
  <si>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</si>
  <si>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</si>
  <si>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</si>
  <si>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</si>
  <si>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</si>
  <si>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</si>
  <si>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</si>
  <si>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</si>
  <si>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</si>
  <si>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</si>
  <si>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</si>
  <si>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</si>
  <si>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</si>
  <si>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</si>
  <si>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</si>
  <si>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</si>
  <si>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</si>
  <si>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</si>
  <si>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</si>
  <si>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</si>
  <si>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</si>
  <si>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</si>
  <si>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</si>
  <si>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</si>
  <si>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</si>
  <si>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</si>
  <si>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</si>
  <si>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</si>
  <si>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</si>
  <si>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</si>
  <si>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</si>
  <si>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</si>
  <si>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</si>
  <si>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</si>
  <si>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</si>
  <si>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</si>
  <si>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</si>
  <si>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</si>
  <si>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</si>
  <si>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</si>
  <si>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</si>
  <si>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</si>
  <si>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</si>
  <si>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</si>
  <si>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</si>
  <si>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</si>
  <si>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</si>
  <si>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</si>
  <si>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</si>
  <si>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</si>
  <si>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</si>
  <si>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</si>
  <si>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</si>
  <si>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</si>
  <si>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</si>
  <si>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</si>
  <si>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</si>
  <si>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</si>
  <si>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</si>
  <si>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</si>
  <si>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</si>
  <si>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</si>
  <si>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</si>
  <si>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</si>
  <si>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</si>
  <si>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</si>
  <si>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</si>
  <si>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</si>
  <si>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</si>
  <si>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</si>
  <si>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</si>
  <si>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</si>
  <si>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</si>
  <si>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</si>
  <si>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</si>
  <si>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</si>
  <si>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</si>
  <si>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</si>
  <si>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</si>
  <si>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</si>
  <si>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</si>
  <si>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</si>
  <si>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</si>
  <si>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</si>
  <si>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</si>
  <si>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</si>
  <si>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</si>
  <si>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</si>
  <si>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</si>
  <si>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</si>
  <si>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</si>
  <si>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</si>
  <si>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</si>
  <si>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</si>
  <si>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</si>
  <si>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</si>
  <si>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</si>
  <si>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</si>
  <si>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</si>
  <si>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</si>
  <si>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</si>
  <si>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</si>
  <si>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</si>
  <si>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</si>
  <si>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</si>
  <si>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</si>
  <si>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</si>
  <si>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</si>
  <si>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</si>
  <si>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</si>
  <si>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</si>
  <si>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</si>
  <si>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</si>
  <si>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</si>
  <si>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</si>
  <si>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</si>
  <si>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</si>
  <si>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</si>
  <si>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</si>
  <si>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</si>
  <si>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</si>
  <si>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</si>
  <si>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</si>
  <si>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</si>
  <si>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</si>
  <si>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</si>
  <si>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</si>
  <si>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</si>
  <si>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</si>
  <si>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</si>
  <si>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</si>
  <si>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</si>
  <si>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</si>
  <si>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</si>
  <si>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</si>
  <si>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</si>
  <si>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</si>
  <si>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</si>
  <si>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</si>
  <si>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</si>
  <si>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</si>
  <si>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</si>
  <si>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</si>
  <si>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</si>
  <si>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</si>
  <si>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</si>
  <si>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</si>
  <si>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</si>
  <si>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</si>
  <si>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</si>
  <si>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</si>
  <si>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</si>
  <si>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</si>
  <si>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</si>
  <si>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</si>
  <si>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</si>
  <si>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</si>
  <si>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</si>
  <si>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</si>
  <si>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</si>
  <si>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</si>
  <si>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</si>
  <si>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</si>
  <si>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</si>
  <si>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</si>
  <si>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</si>
  <si>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</si>
  <si>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</si>
  <si>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</si>
  <si>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</si>
  <si>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</si>
  <si>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</si>
  <si>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</si>
  <si>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</si>
  <si>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</si>
  <si>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</si>
  <si>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</si>
  <si>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</si>
  <si>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</si>
  <si>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</si>
  <si>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</si>
  <si>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</si>
  <si>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</si>
  <si>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</si>
  <si>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</si>
  <si>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</si>
  <si>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</si>
  <si>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</si>
  <si>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</si>
  <si>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</si>
  <si>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</si>
  <si>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</si>
  <si>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</si>
  <si>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</si>
  <si>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</si>
  <si>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</si>
  <si>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</si>
  <si>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</si>
  <si>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</si>
  <si>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</si>
  <si>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</si>
  <si>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</si>
  <si>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</si>
  <si>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</si>
  <si>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</si>
  <si>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</si>
  <si>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</si>
  <si>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</si>
  <si>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</si>
  <si>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</si>
  <si>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</si>
  <si>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</si>
  <si>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</si>
  <si>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</si>
  <si>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</si>
  <si>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</si>
  <si>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</si>
  <si>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</si>
  <si>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</si>
  <si>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</si>
  <si>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</si>
  <si>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</si>
  <si>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</si>
  <si>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</si>
  <si>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</si>
  <si>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</si>
  <si>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</si>
  <si>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</si>
  <si>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</si>
  <si>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</si>
  <si>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</si>
  <si>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</si>
  <si>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</si>
  <si>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</si>
  <si>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</si>
  <si>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</si>
  <si>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</si>
  <si>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</si>
  <si>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</si>
  <si>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</si>
  <si>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</si>
  <si>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</si>
  <si>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</si>
  <si>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</si>
  <si>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</si>
  <si>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</si>
  <si>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</si>
  <si>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</si>
  <si>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</si>
  <si>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</si>
  <si>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</si>
  <si>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</si>
  <si>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</si>
  <si>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</si>
  <si>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</si>
  <si>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</si>
  <si>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</si>
  <si>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</si>
  <si>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</si>
  <si>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</si>
  <si>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</si>
  <si>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</si>
  <si>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</si>
  <si>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</si>
  <si>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</si>
  <si>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</si>
  <si>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</si>
  <si>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</si>
  <si>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</si>
  <si>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</si>
  <si>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</si>
  <si>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</si>
  <si>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</si>
  <si>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</si>
  <si>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</si>
  <si>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</si>
  <si>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</si>
  <si>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</si>
  <si>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</si>
  <si>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</si>
  <si>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</si>
  <si>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</si>
  <si>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</si>
  <si>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</si>
  <si>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</si>
  <si>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</si>
  <si>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</si>
  <si>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</si>
  <si>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</si>
  <si>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</si>
  <si>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</si>
  <si>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</si>
  <si>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</si>
  <si>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</si>
  <si>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</si>
  <si>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</si>
  <si>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</si>
  <si>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</si>
  <si>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</si>
  <si>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</si>
  <si>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</si>
  <si>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</si>
  <si>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</si>
  <si>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</si>
  <si>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</si>
  <si>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</si>
  <si>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</si>
  <si>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</si>
  <si>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</si>
  <si>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</si>
  <si>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</si>
  <si>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</si>
  <si>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</si>
  <si>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</si>
  <si>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</si>
  <si>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</si>
  <si>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</si>
  <si>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</si>
  <si>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</si>
  <si>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</si>
  <si>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</si>
  <si>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</si>
  <si>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</si>
  <si>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</si>
  <si>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</si>
  <si>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</si>
  <si>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</si>
  <si>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</si>
  <si>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</si>
  <si>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</si>
  <si>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</si>
  <si>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</si>
  <si>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</si>
  <si>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</si>
  <si>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</si>
  <si>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</si>
  <si>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</si>
  <si>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</si>
  <si>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</si>
  <si>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</si>
  <si>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</si>
  <si>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</si>
  <si>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</si>
  <si>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</si>
  <si>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</si>
  <si>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</si>
  <si>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</si>
  <si>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</si>
  <si>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</si>
  <si>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</si>
  <si>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</si>
  <si>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</si>
  <si>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</si>
  <si>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</si>
  <si>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</si>
  <si>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</si>
  <si>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</si>
  <si>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</si>
  <si>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</si>
  <si>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</si>
  <si>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</si>
  <si>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</si>
  <si>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</si>
  <si>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</si>
  <si>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</si>
  <si>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</si>
  <si>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</si>
  <si>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</si>
  <si>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</si>
  <si>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</si>
  <si>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</si>
  <si>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</si>
  <si>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</si>
  <si>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</si>
  <si>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</si>
  <si>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</si>
  <si>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</si>
  <si>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</si>
  <si>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</si>
  <si>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</si>
  <si>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</si>
  <si>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</si>
  <si>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</si>
  <si>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</si>
  <si>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</si>
  <si>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</si>
  <si>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</si>
  <si>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</si>
  <si>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</si>
  <si>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</si>
  <si>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</si>
  <si>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</si>
  <si>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</si>
  <si>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</si>
  <si>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</si>
  <si>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</si>
  <si>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</si>
  <si>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</si>
  <si>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</si>
  <si>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</si>
  <si>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</si>
  <si>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</si>
  <si>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</si>
  <si>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</si>
  <si>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</si>
  <si>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</si>
  <si>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</si>
  <si>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</si>
  <si>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</si>
  <si>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</si>
  <si>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</si>
  <si>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</si>
  <si>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</si>
  <si>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</si>
  <si>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</si>
  <si>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</si>
  <si>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</si>
  <si>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</si>
  <si>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</si>
  <si>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</si>
  <si>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</si>
  <si>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</si>
  <si>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</si>
  <si>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</si>
  <si>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</si>
  <si>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</si>
  <si>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</si>
  <si>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</si>
  <si>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</si>
  <si>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</si>
  <si>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</si>
  <si>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</si>
  <si>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</si>
  <si>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</si>
  <si>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</si>
  <si>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</si>
  <si>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</si>
  <si>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</si>
  <si>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</si>
  <si>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</si>
  <si>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</si>
  <si>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</si>
  <si>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</si>
  <si>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</si>
  <si>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</si>
  <si>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</si>
  <si>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</si>
  <si>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</si>
  <si>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</si>
  <si>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</si>
  <si>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</si>
  <si>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</si>
  <si>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</si>
  <si>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</si>
  <si>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</si>
  <si>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</si>
  <si>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</si>
  <si>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</si>
  <si>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</si>
  <si>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</si>
  <si>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</si>
  <si>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</si>
  <si>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</si>
  <si>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</si>
  <si>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</si>
  <si>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</si>
  <si>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</si>
  <si>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</si>
  <si>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</si>
  <si>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</si>
  <si>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</si>
  <si>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</si>
  <si>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</si>
  <si>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</si>
  <si>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</si>
  <si>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</si>
  <si>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</si>
  <si>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</si>
  <si>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</si>
  <si>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</si>
  <si>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</si>
  <si>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</si>
  <si>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</si>
  <si>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</si>
  <si>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</si>
  <si>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</si>
  <si>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</si>
  <si>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</si>
  <si>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</si>
  <si>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</si>
  <si>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</si>
  <si>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</si>
  <si>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</si>
  <si>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</si>
  <si>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</si>
  <si>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</si>
  <si>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</si>
  <si>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</si>
  <si>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</si>
  <si>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</si>
  <si>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</si>
  <si>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</si>
  <si>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</si>
  <si>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</si>
  <si>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</si>
  <si>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</si>
  <si>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</si>
  <si>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</si>
  <si>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</si>
  <si>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</si>
  <si>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</si>
  <si>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</si>
  <si>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</si>
  <si>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</si>
  <si>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</si>
  <si>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</si>
  <si>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</si>
  <si>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</si>
  <si>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</si>
  <si>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</si>
  <si>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</si>
  <si>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</si>
  <si>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</si>
  <si>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</si>
  <si>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</si>
  <si>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</si>
  <si>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</si>
  <si>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</si>
  <si>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</si>
  <si>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</si>
  <si>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</si>
  <si>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</si>
  <si>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</si>
  <si>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</si>
  <si>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</si>
  <si>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</si>
  <si>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</si>
  <si>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</si>
  <si>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</si>
  <si>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</si>
  <si>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</si>
  <si>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</si>
  <si>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</si>
  <si>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</si>
  <si>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</si>
  <si>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</si>
  <si>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</si>
  <si>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</si>
  <si>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</si>
  <si>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</si>
  <si>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</si>
  <si>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</si>
  <si>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</si>
  <si>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</si>
  <si>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</si>
  <si>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</si>
  <si>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</si>
  <si>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</si>
  <si>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</si>
  <si>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</si>
  <si>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</si>
  <si>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</si>
  <si>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</si>
  <si>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</si>
  <si>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</si>
  <si>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</si>
  <si>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</si>
  <si>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</si>
  <si>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</si>
  <si>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</si>
  <si>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</si>
  <si>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</si>
  <si>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</si>
  <si>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</si>
  <si>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</si>
  <si>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</si>
  <si>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</si>
  <si>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</si>
  <si>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</si>
  <si>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</si>
  <si>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</si>
  <si>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</si>
  <si>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</si>
  <si>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</si>
  <si>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</si>
  <si>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</si>
  <si>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</si>
  <si>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</si>
  <si>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</si>
  <si>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</si>
  <si>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</si>
  <si>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</si>
  <si>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</si>
  <si>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</si>
  <si>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</si>
  <si>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</si>
  <si>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</si>
  <si>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</si>
  <si>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</si>
  <si>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</si>
  <si>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</si>
  <si>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</si>
  <si>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</si>
  <si>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</si>
  <si>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</si>
  <si>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</si>
  <si>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</si>
  <si>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</si>
  <si>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</si>
  <si>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</si>
  <si>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</si>
  <si>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</si>
  <si>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</si>
  <si>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</si>
  <si>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</si>
  <si>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</si>
  <si>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</si>
  <si>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</si>
  <si>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</si>
  <si>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</si>
  <si>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</si>
  <si>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</si>
  <si>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</si>
  <si>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</si>
  <si>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</si>
  <si>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</si>
  <si>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</si>
  <si>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</si>
  <si>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</si>
  <si>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</si>
  <si>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</si>
  <si>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</si>
  <si>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</si>
  <si>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</si>
  <si>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</si>
  <si>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</si>
  <si>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</si>
  <si>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</si>
  <si>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</si>
  <si>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</si>
  <si>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</si>
  <si>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</si>
  <si>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</si>
  <si>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</si>
  <si>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</si>
  <si>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</si>
  <si>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</si>
  <si>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</si>
  <si>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</si>
  <si>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</si>
  <si>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</si>
  <si>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</si>
  <si>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</si>
  <si>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</si>
  <si>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</si>
  <si>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</si>
  <si>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</si>
  <si>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</si>
  <si>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</si>
  <si>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</si>
  <si>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</si>
  <si>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</si>
  <si>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</si>
  <si>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</si>
  <si>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</si>
  <si>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</si>
  <si>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</si>
  <si>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</si>
  <si>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</si>
  <si>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</si>
  <si>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</si>
  <si>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</si>
  <si>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</si>
  <si>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</si>
  <si>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</si>
  <si>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</si>
  <si>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</si>
  <si>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</si>
  <si>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</si>
  <si>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</si>
  <si>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</si>
  <si>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</si>
  <si>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</si>
  <si>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</si>
  <si>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</si>
  <si>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</si>
  <si>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</si>
  <si>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</si>
  <si>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</si>
  <si>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</si>
  <si>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</si>
  <si>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</si>
  <si>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</si>
  <si>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</si>
  <si>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</si>
  <si>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</si>
  <si>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</si>
  <si>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</si>
  <si>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</si>
  <si>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</si>
  <si>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</si>
  <si>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</si>
  <si>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</si>
  <si>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</si>
  <si>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</si>
  <si>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</si>
  <si>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</si>
  <si>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</si>
  <si>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</si>
  <si>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</si>
  <si>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</si>
  <si>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</si>
  <si>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</si>
  <si>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</si>
  <si>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</si>
  <si>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</si>
  <si>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</si>
  <si>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</si>
  <si>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</si>
  <si>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</si>
  <si>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</si>
  <si>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</si>
  <si>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</si>
  <si>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</si>
  <si>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</si>
  <si>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</si>
  <si>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</si>
  <si>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</si>
  <si>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</si>
  <si>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</si>
  <si>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</si>
  <si>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</si>
  <si>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</si>
  <si>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</si>
  <si>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</si>
  <si>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</si>
  <si>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</si>
  <si>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</si>
  <si>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</si>
  <si>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</si>
  <si>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</si>
  <si>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</si>
  <si>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</si>
  <si>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</si>
  <si>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</si>
  <si>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</si>
  <si>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</si>
  <si>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</si>
  <si>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</si>
  <si>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</si>
  <si>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</si>
  <si>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</si>
  <si>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</si>
  <si>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</si>
  <si>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</si>
  <si>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</si>
  <si>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</si>
  <si>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</si>
  <si>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</si>
  <si>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</si>
  <si>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</si>
  <si>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</si>
  <si>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</si>
  <si>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</si>
  <si>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</si>
  <si>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</si>
  <si>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</si>
  <si>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</si>
  <si>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</si>
  <si>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</si>
  <si>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</si>
  <si>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</si>
  <si>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</si>
  <si>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</si>
  <si>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</si>
  <si>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</si>
  <si>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</si>
  <si>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</si>
  <si>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</si>
  <si>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</si>
  <si>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</si>
  <si>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</si>
  <si>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</si>
  <si>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</si>
  <si>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</si>
  <si>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</si>
  <si>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</si>
  <si>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</si>
  <si>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</si>
  <si>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</si>
  <si>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</si>
  <si>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</si>
  <si>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</si>
  <si>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</si>
  <si>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</si>
  <si>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</si>
  <si>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</si>
  <si>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</si>
  <si>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</si>
  <si>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</si>
  <si>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</si>
  <si>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</si>
  <si>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</si>
  <si>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</si>
  <si>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</si>
  <si>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</si>
  <si>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</si>
  <si>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</si>
  <si>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</si>
  <si>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</si>
  <si>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</si>
  <si>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</si>
  <si>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</si>
  <si>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</si>
  <si>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</si>
  <si>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</si>
  <si>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</si>
  <si>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</si>
  <si>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</si>
  <si>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</si>
  <si>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</si>
  <si>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</si>
  <si>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</si>
  <si>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</si>
  <si>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</si>
  <si>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</si>
  <si>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</si>
  <si>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</si>
  <si>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</si>
  <si>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</si>
  <si>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</si>
  <si>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</si>
  <si>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</si>
  <si>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</si>
  <si>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</si>
  <si>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</si>
  <si>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</si>
  <si>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</si>
  <si>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</si>
  <si>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</si>
  <si>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</si>
  <si>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</si>
  <si>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</si>
  <si>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</si>
  <si>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</si>
  <si>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</si>
  <si>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</si>
  <si>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</si>
  <si>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</si>
  <si>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</si>
  <si>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</si>
  <si>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</si>
  <si>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</si>
  <si>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</si>
  <si>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</si>
  <si>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</si>
  <si>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</si>
  <si>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</si>
  <si>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</si>
  <si>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</si>
  <si>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</si>
  <si>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</si>
  <si>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</si>
  <si>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</si>
  <si>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</si>
  <si>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</si>
  <si>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</si>
  <si>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</si>
  <si>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</si>
  <si>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</si>
  <si>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</si>
  <si>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</si>
  <si>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</si>
  <si>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</si>
  <si>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</si>
  <si>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</si>
  <si>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</si>
  <si>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</si>
  <si>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</si>
  <si>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</si>
  <si>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</si>
  <si>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</si>
  <si>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</si>
  <si>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</si>
  <si>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</si>
  <si>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</si>
  <si>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</si>
  <si>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</si>
  <si>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</si>
  <si>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</si>
  <si>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</si>
  <si>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</si>
  <si>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</si>
  <si>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</si>
  <si>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</si>
  <si>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</si>
  <si>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</si>
  <si>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</si>
  <si>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</si>
  <si>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</si>
  <si>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</si>
  <si>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</si>
  <si>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</si>
  <si>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</si>
  <si>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</si>
  <si>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</si>
  <si>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</si>
  <si>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</si>
  <si>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</si>
  <si>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</si>
  <si>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</si>
  <si>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</si>
  <si>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</si>
  <si>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</si>
  <si>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</si>
  <si>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</si>
  <si>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</si>
  <si>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</si>
  <si>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</si>
  <si>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</si>
  <si>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</si>
  <si>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</si>
  <si>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</si>
  <si>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</si>
  <si>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</si>
  <si>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</si>
  <si>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</si>
  <si>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</si>
  <si>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</si>
  <si>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</si>
  <si>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</si>
  <si>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</si>
  <si>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</si>
  <si>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</si>
  <si>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</si>
  <si>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</si>
  <si>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</si>
  <si>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</si>
  <si>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</si>
  <si>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</si>
  <si>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</si>
  <si>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</si>
  <si>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</si>
  <si>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</si>
  <si>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</si>
  <si>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</si>
  <si>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</si>
  <si>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</si>
  <si>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</si>
  <si>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</si>
  <si>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</si>
  <si>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</si>
  <si>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</si>
  <si>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</si>
  <si>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</si>
  <si>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</si>
  <si>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</si>
  <si>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</si>
  <si>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</si>
  <si>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</si>
  <si>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</si>
  <si>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</si>
  <si>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</si>
  <si>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</si>
  <si>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</si>
  <si>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</si>
  <si>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</si>
  <si>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</si>
  <si>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</si>
  <si>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</si>
  <si>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</si>
  <si>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</si>
  <si>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</si>
  <si>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</si>
  <si>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</si>
  <si>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</si>
  <si>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</si>
  <si>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</si>
  <si>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</si>
  <si>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</si>
  <si>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</si>
  <si>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</si>
  <si>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</si>
  <si>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</si>
  <si>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</si>
  <si>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</si>
  <si>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</si>
  <si>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</si>
  <si>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</si>
  <si>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</si>
  <si>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</si>
  <si>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</si>
  <si>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</si>
  <si>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</si>
  <si>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</si>
  <si>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</si>
  <si>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</si>
  <si>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</si>
  <si>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</si>
  <si>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</si>
  <si>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</si>
  <si>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</si>
  <si>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</si>
  <si>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</si>
  <si>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</si>
  <si>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</si>
  <si>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</si>
  <si>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</si>
  <si>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</si>
  <si>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</si>
  <si>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</si>
  <si>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</si>
  <si>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</si>
  <si>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</si>
  <si>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</si>
  <si>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</si>
  <si>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</si>
  <si>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</si>
  <si>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</si>
  <si>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</si>
  <si>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</si>
  <si>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</si>
  <si>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</si>
  <si>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</si>
  <si>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</si>
  <si>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</si>
  <si>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</si>
  <si>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</si>
  <si>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</si>
  <si>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</si>
  <si>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</si>
  <si>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</si>
  <si>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</si>
  <si>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</si>
  <si>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</si>
  <si>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</si>
  <si>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</si>
  <si>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</si>
  <si>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</si>
  <si>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</si>
  <si>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</si>
  <si>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</si>
  <si>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</si>
  <si>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</si>
  <si>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</si>
  <si>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</si>
  <si>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</si>
  <si>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</si>
  <si>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</si>
  <si>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</si>
  <si>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</si>
  <si>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</si>
  <si>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</si>
  <si>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</si>
  <si>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</si>
  <si>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</si>
  <si>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</si>
  <si>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</si>
  <si>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</si>
  <si>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</si>
  <si>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</si>
  <si>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</si>
  <si>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</si>
  <si>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</si>
  <si>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</si>
  <si>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</si>
  <si>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</si>
  <si>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</si>
  <si>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</si>
  <si>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</si>
  <si>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</si>
  <si>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</si>
  <si>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</si>
  <si>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</si>
  <si>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</si>
  <si>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</si>
  <si>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</si>
  <si>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</si>
  <si>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</si>
  <si>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</si>
  <si>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</si>
  <si>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</si>
  <si>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</si>
  <si>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</si>
  <si>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</si>
  <si>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</si>
  <si>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</si>
  <si>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</si>
  <si>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</si>
  <si>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</si>
  <si>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</si>
  <si>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</si>
  <si>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</si>
  <si>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</si>
  <si>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</si>
  <si>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</si>
  <si>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</si>
  <si>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</si>
  <si>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</si>
  <si>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</si>
  <si>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</si>
  <si>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</si>
  <si>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</si>
  <si>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</si>
  <si>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</si>
  <si>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</si>
  <si>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</si>
  <si>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</si>
  <si>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</si>
  <si>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</si>
  <si>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</si>
  <si>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</si>
  <si>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</si>
  <si>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</si>
  <si>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</si>
  <si>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</si>
  <si>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</si>
  <si>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</si>
  <si>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</si>
  <si>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</si>
  <si>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</si>
  <si>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</si>
  <si>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</si>
  <si>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</si>
  <si>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</si>
  <si>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</si>
  <si>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</si>
  <si>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</si>
  <si>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</si>
  <si>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</si>
  <si>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</si>
  <si>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</si>
  <si>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</si>
  <si>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</si>
  <si>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</si>
  <si>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</si>
  <si>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</si>
  <si>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</si>
  <si>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</si>
  <si>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</si>
  <si>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</si>
  <si>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</si>
  <si>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</si>
  <si>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</si>
  <si>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</si>
  <si>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</si>
  <si>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</si>
  <si>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</si>
  <si>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</si>
  <si>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</si>
  <si>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</si>
  <si>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</si>
  <si>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</si>
  <si>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</si>
  <si>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</si>
  <si>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</si>
  <si>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</si>
  <si>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</si>
  <si>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</si>
  <si>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</si>
  <si>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</si>
  <si>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</si>
  <si>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</si>
  <si>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</si>
  <si>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</si>
  <si>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</si>
  <si>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</si>
  <si>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</si>
  <si>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</si>
  <si>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</si>
  <si>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</si>
  <si>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</si>
  <si>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</si>
  <si>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</si>
  <si>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</si>
  <si>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</si>
  <si>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</si>
  <si>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</si>
  <si>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</si>
  <si>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</si>
  <si>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</si>
  <si>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</si>
  <si>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</si>
  <si>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</si>
  <si>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</si>
  <si>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</si>
  <si>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</si>
  <si>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</si>
  <si>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</si>
  <si>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</si>
  <si>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</si>
  <si>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</si>
  <si>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</si>
  <si>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</si>
  <si>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</si>
  <si>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</si>
  <si>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</si>
  <si>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</si>
  <si>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</si>
  <si>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</si>
  <si>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</si>
  <si>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</si>
  <si>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</si>
  <si>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</si>
  <si>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</si>
  <si>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</si>
  <si>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</si>
  <si>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</si>
  <si>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</si>
  <si>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</si>
  <si>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</si>
  <si>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</si>
  <si>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</si>
  <si>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</si>
  <si>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</si>
  <si>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</si>
  <si>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</si>
  <si>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</si>
  <si>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</si>
  <si>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</si>
  <si>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</si>
  <si>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</si>
  <si>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</si>
  <si>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</si>
  <si>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</si>
  <si>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</si>
  <si>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</si>
  <si>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</si>
  <si>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</si>
  <si>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</si>
  <si>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</si>
  <si>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</si>
  <si>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</si>
  <si>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</si>
  <si>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</si>
  <si>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</si>
  <si>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</si>
  <si>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</si>
  <si>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</si>
  <si>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</si>
  <si>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</si>
  <si>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</si>
  <si>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</si>
  <si>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</si>
  <si>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</si>
  <si>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</si>
  <si>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</si>
  <si>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</si>
  <si>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</si>
  <si>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</si>
  <si>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</si>
  <si>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</si>
  <si>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</si>
  <si>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</si>
  <si>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</si>
  <si>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</si>
  <si>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</si>
  <si>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</si>
  <si>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</si>
  <si>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</si>
  <si>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</si>
  <si>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</si>
  <si>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</si>
  <si>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</si>
  <si>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</si>
  <si>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</si>
  <si>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</si>
  <si>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</si>
  <si>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</si>
  <si>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</si>
  <si>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</si>
  <si>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</si>
  <si>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</si>
  <si>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</si>
  <si>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</si>
  <si>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</si>
  <si>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</si>
  <si>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</si>
  <si>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</si>
  <si>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</si>
  <si>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</si>
  <si>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</si>
  <si>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</si>
  <si>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</si>
  <si>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</si>
  <si>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</si>
  <si>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</si>
  <si>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</si>
  <si>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</si>
  <si>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</si>
  <si>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</si>
  <si>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</si>
  <si>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</si>
  <si>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</si>
  <si>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</si>
  <si>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</si>
  <si>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</si>
  <si>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</si>
  <si>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</si>
  <si>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</si>
  <si>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</si>
  <si>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</si>
  <si>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</si>
  <si>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</si>
  <si>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</si>
  <si>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</si>
  <si>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</si>
  <si>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</si>
  <si>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</si>
  <si>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</si>
  <si>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</si>
  <si>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</si>
  <si>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</si>
  <si>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</si>
  <si>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</si>
  <si>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</si>
  <si>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</si>
  <si>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</si>
  <si>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</si>
  <si>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</si>
  <si>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</si>
  <si>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</si>
  <si>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</si>
  <si>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</si>
  <si>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</si>
  <si>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</si>
  <si>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</si>
  <si>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</si>
  <si>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</si>
  <si>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</si>
  <si>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</si>
  <si>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</si>
  <si>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</si>
  <si>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</si>
  <si>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</si>
  <si>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</si>
  <si>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</si>
  <si>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</si>
  <si>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</si>
  <si>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</si>
  <si>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</si>
  <si>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</si>
  <si>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</si>
  <si>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</si>
  <si>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</si>
  <si>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</si>
  <si>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</si>
  <si>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</si>
  <si>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</si>
  <si>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</si>
  <si>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</si>
  <si>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</si>
  <si>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</si>
  <si>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</si>
  <si>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</si>
  <si>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</si>
  <si>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</si>
  <si>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</si>
  <si>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</si>
  <si>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</si>
  <si>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</si>
  <si>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</si>
  <si>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</si>
  <si>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</si>
  <si>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</si>
  <si>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</si>
  <si>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</si>
  <si>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</si>
  <si>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</si>
  <si>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</si>
  <si>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</si>
  <si>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</si>
  <si>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</si>
  <si>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</si>
  <si>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</si>
  <si>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</si>
  <si>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</si>
  <si>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</si>
  <si>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</si>
  <si>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</si>
  <si>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</si>
  <si>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</si>
  <si>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</si>
  <si>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</si>
  <si>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</si>
  <si>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</si>
  <si>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</si>
  <si>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</si>
  <si>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</si>
  <si>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</si>
  <si>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</si>
  <si>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</si>
  <si>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</si>
  <si>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</si>
  <si>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</si>
  <si>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</si>
  <si>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</si>
  <si>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</si>
  <si>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</si>
  <si>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</si>
  <si>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</si>
  <si>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</si>
  <si>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</si>
  <si>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</si>
  <si>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</si>
  <si>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</si>
  <si>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</si>
  <si>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</si>
  <si>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</si>
  <si>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</si>
  <si>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</si>
  <si>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</si>
  <si>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</si>
  <si>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</si>
  <si>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</si>
  <si>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</si>
  <si>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</si>
  <si>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</si>
  <si>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</si>
  <si>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</si>
  <si>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</si>
  <si>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</si>
  <si>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</si>
  <si>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</si>
  <si>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</si>
  <si>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</si>
  <si>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</si>
  <si>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</si>
  <si>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</si>
  <si>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</si>
  <si>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</si>
  <si>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</si>
  <si>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</si>
  <si>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</si>
  <si>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</si>
  <si>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</si>
  <si>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</si>
  <si>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</si>
  <si>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</si>
  <si>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</si>
  <si>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</si>
  <si>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</si>
  <si>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</si>
  <si>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</si>
  <si>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</si>
  <si>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</si>
  <si>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</si>
  <si>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</si>
  <si>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</si>
  <si>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</si>
  <si>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</si>
  <si>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</si>
  <si>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</si>
  <si>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</si>
  <si>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</si>
  <si>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</si>
  <si>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</si>
  <si>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</si>
  <si>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</si>
  <si>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</si>
  <si>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</si>
  <si>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</si>
  <si>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</si>
  <si>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</si>
  <si>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</si>
  <si>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</si>
  <si>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</si>
  <si>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</si>
  <si>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</si>
  <si>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</si>
  <si>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</si>
  <si>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</si>
  <si>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</si>
  <si>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</si>
  <si>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</si>
  <si>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</si>
  <si>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</si>
  <si>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</si>
  <si>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</si>
  <si>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</si>
  <si>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</si>
  <si>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</si>
  <si>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</si>
  <si>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</si>
  <si>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</si>
  <si>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</si>
  <si>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</si>
  <si>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</si>
  <si>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</si>
  <si>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</si>
  <si>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</si>
  <si>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</si>
  <si>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</si>
  <si>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</si>
  <si>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</si>
  <si>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</si>
  <si>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</si>
  <si>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</si>
  <si>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</si>
  <si>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</si>
  <si>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</si>
  <si>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</si>
  <si>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</si>
  <si>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</si>
  <si>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</si>
  <si>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</si>
  <si>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</si>
  <si>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</si>
  <si>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</si>
  <si>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</si>
  <si>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</si>
  <si>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</si>
  <si>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</si>
  <si>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</si>
  <si>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</si>
  <si>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</si>
  <si>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</si>
  <si>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</si>
  <si>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</si>
  <si>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</si>
  <si>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</si>
  <si>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</si>
  <si>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</si>
  <si>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</si>
  <si>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</si>
  <si>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</si>
  <si>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</si>
  <si>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</si>
  <si>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</si>
  <si>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</si>
  <si>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</si>
  <si>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</si>
  <si>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</si>
  <si>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</si>
  <si>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</si>
  <si>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</si>
  <si>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</si>
  <si>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</si>
  <si>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</si>
  <si>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</si>
  <si>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</si>
  <si>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</si>
  <si>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</si>
  <si>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</si>
  <si>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</si>
  <si>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</si>
  <si>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</si>
  <si>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</si>
  <si>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</si>
  <si>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</si>
  <si>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</si>
  <si>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</si>
  <si>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</si>
  <si>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</si>
  <si>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</si>
  <si>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</si>
  <si>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</si>
  <si>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</si>
  <si>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</si>
  <si>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</si>
  <si>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</si>
  <si>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</si>
  <si>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</si>
  <si>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</si>
  <si>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</si>
  <si>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</si>
  <si>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</si>
  <si>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</si>
  <si>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</si>
  <si>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</si>
  <si>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</si>
  <si>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</si>
  <si>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</si>
  <si>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</si>
  <si>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</si>
  <si>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</si>
  <si>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</si>
  <si>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</si>
  <si>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</si>
  <si>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</si>
  <si>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</si>
  <si>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</si>
  <si>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</si>
  <si>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</si>
  <si>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</si>
  <si>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</si>
  <si>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</si>
  <si>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</si>
  <si>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</si>
  <si>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</si>
  <si>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</si>
  <si>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</si>
  <si>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</si>
  <si>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</si>
  <si>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</si>
  <si>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</si>
  <si>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</si>
  <si>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</si>
  <si>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</si>
  <si>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</si>
  <si>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</si>
  <si>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</si>
  <si>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</si>
  <si>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</si>
  <si>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</si>
  <si>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</si>
  <si>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</si>
  <si>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</si>
  <si>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</si>
  <si>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</si>
  <si>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</si>
  <si>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</si>
  <si>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</si>
  <si>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</si>
  <si>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</si>
  <si>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</si>
  <si>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</si>
  <si>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</si>
  <si>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</si>
  <si>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</si>
  <si>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</si>
  <si>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</si>
  <si>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</si>
  <si>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</si>
  <si>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</si>
  <si>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</si>
  <si>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</si>
  <si>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</si>
  <si>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</si>
  <si>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</si>
  <si>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</si>
  <si>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</si>
  <si>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</si>
  <si>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</si>
  <si>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</si>
  <si>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</si>
  <si>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</si>
  <si>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</si>
  <si>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</si>
  <si>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</si>
  <si>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</si>
  <si>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</si>
  <si>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</si>
  <si>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</si>
  <si>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</si>
  <si>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</si>
  <si>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</si>
  <si>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</si>
  <si>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</si>
  <si>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</si>
  <si>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</si>
  <si>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</si>
  <si>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</si>
  <si>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</si>
  <si>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</si>
  <si>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</si>
  <si>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</si>
  <si>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</si>
  <si>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</si>
  <si>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</si>
  <si>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</si>
  <si>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</si>
  <si>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</si>
  <si>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</si>
  <si>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</si>
  <si>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</si>
  <si>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</si>
  <si>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</si>
  <si>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</si>
  <si>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</si>
  <si>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</si>
  <si>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</si>
  <si>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</si>
  <si>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</si>
  <si>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</si>
  <si>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</si>
  <si>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</si>
  <si>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</si>
  <si>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</si>
  <si>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</si>
  <si>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</si>
  <si>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</si>
  <si>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</si>
  <si>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</si>
  <si>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</si>
  <si>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</si>
  <si>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</si>
  <si>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</si>
  <si>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</si>
  <si>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</si>
  <si>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</si>
  <si>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</si>
  <si>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</si>
  <si>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</si>
  <si>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</si>
  <si>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</si>
  <si>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</si>
  <si>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</si>
  <si>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</si>
  <si>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</si>
  <si>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</si>
  <si>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</si>
  <si>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</si>
  <si>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</si>
  <si>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</si>
  <si>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</si>
  <si>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</si>
  <si>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</si>
  <si>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</si>
  <si>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</si>
  <si>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</si>
  <si>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</si>
  <si>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</si>
  <si>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</si>
  <si>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</si>
  <si>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</si>
  <si>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</si>
  <si>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</si>
  <si>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</si>
  <si>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</si>
  <si>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</si>
  <si>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</si>
  <si>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</si>
  <si>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</si>
  <si>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</si>
  <si>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</si>
  <si>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</si>
  <si>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</si>
  <si>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</si>
  <si>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</si>
  <si>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</si>
  <si>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</si>
  <si>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</si>
  <si>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</si>
  <si>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</si>
  <si>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</si>
  <si>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</si>
  <si>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</si>
  <si>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</si>
  <si>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</si>
  <si>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</si>
  <si>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</si>
  <si>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</si>
  <si>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</si>
  <si>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</si>
  <si>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</si>
  <si>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</si>
  <si>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</si>
  <si>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</si>
  <si>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</si>
  <si>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</si>
  <si>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</si>
  <si>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</si>
  <si>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</si>
  <si>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</si>
  <si>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</si>
  <si>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</si>
  <si>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</si>
  <si>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</si>
  <si>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</si>
  <si>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</si>
  <si>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</si>
  <si>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</si>
  <si>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</si>
  <si>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</si>
  <si>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</si>
  <si>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</si>
  <si>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</si>
  <si>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</si>
  <si>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</si>
  <si>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</si>
  <si>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</si>
  <si>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</si>
  <si>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</si>
  <si>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</si>
  <si>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</si>
  <si>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</si>
  <si>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</si>
  <si>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</si>
  <si>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</si>
  <si>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</si>
  <si>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</si>
  <si>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</si>
  <si>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</si>
  <si>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</si>
  <si>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</si>
  <si>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</si>
  <si>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</si>
  <si>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</si>
  <si>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</si>
  <si>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</si>
  <si>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</si>
  <si>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</si>
  <si>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</si>
  <si>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</si>
  <si>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</si>
  <si>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</si>
  <si>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</si>
  <si>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</si>
  <si>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</si>
  <si>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</si>
  <si>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</si>
  <si>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</si>
  <si>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</si>
  <si>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</si>
  <si>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</si>
  <si>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</si>
  <si>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</si>
  <si>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</si>
  <si>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</si>
  <si>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</si>
  <si>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</si>
  <si>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</si>
  <si>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</si>
  <si>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</si>
  <si>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</si>
  <si>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</si>
  <si>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</si>
  <si>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</si>
  <si>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</si>
  <si>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</si>
  <si>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</si>
  <si>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</si>
  <si>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</si>
  <si>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</si>
  <si>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</si>
  <si>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</si>
  <si>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</si>
  <si>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</si>
  <si>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</si>
  <si>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</si>
  <si>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</si>
  <si>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</si>
  <si>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</si>
  <si>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</si>
  <si>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</si>
  <si>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</si>
  <si>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</si>
  <si>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</si>
  <si>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</si>
  <si>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</si>
  <si>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</si>
  <si>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</si>
  <si>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</si>
  <si>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</si>
  <si>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</si>
  <si>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</si>
  <si>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</si>
  <si>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</si>
  <si>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</si>
  <si>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</si>
  <si>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</si>
  <si>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</si>
  <si>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</si>
  <si>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</si>
  <si>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</si>
  <si>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</si>
  <si>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</si>
  <si>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</si>
  <si>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</si>
  <si>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</si>
  <si>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</si>
  <si>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</si>
  <si>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</si>
  <si>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</si>
  <si>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</si>
  <si>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</si>
  <si>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</si>
  <si>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</si>
  <si>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</si>
  <si>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</si>
  <si>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</si>
  <si>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</si>
  <si>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</si>
  <si>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</si>
  <si>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</si>
  <si>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</si>
  <si>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</si>
  <si>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</si>
  <si>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</si>
  <si>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</si>
  <si>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</si>
  <si>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</si>
  <si>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</si>
  <si>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</si>
  <si>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</si>
  <si>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</si>
  <si>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</si>
  <si>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</si>
  <si>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</si>
  <si>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</si>
  <si>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</si>
  <si>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</si>
  <si>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</si>
  <si>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</si>
  <si>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</si>
  <si>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</si>
  <si>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</si>
  <si>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</si>
  <si>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</si>
  <si>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</si>
  <si>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</si>
  <si>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</si>
  <si>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</si>
  <si>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</si>
  <si>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</si>
  <si>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</si>
  <si>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</si>
  <si>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</si>
  <si>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</si>
  <si>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</si>
  <si>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</si>
  <si>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</si>
  <si>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</si>
  <si>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</si>
  <si>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</si>
  <si>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</si>
  <si>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</si>
  <si>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</si>
  <si>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</si>
  <si>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</si>
  <si>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</si>
  <si>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</si>
  <si>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</si>
  <si>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</si>
  <si>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</si>
  <si>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</si>
  <si>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</si>
  <si>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</si>
  <si>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</si>
  <si>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</si>
  <si>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</si>
  <si>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</si>
  <si>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</si>
  <si>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</si>
  <si>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</si>
  <si>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</si>
  <si>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</si>
  <si>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</si>
  <si>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</si>
  <si>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</si>
  <si>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</si>
  <si>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</si>
  <si>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</si>
  <si>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</si>
  <si>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</si>
  <si>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</si>
  <si>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</si>
  <si>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</si>
  <si>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</si>
  <si>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</si>
  <si>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</si>
  <si>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</si>
  <si>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</si>
  <si>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</si>
  <si>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</si>
  <si>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</si>
  <si>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</si>
  <si>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</si>
  <si>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</si>
  <si>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</si>
  <si>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</si>
  <si>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</si>
  <si>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</si>
  <si>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</si>
  <si>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</si>
  <si>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</si>
  <si>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</si>
  <si>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</si>
  <si>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</si>
  <si>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</si>
  <si>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</si>
  <si>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</si>
  <si>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</si>
  <si>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</si>
  <si>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</si>
  <si>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</si>
  <si>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</si>
  <si>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</si>
  <si>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</si>
  <si>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</si>
  <si>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</si>
  <si>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</si>
  <si>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</si>
  <si>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</si>
  <si>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</si>
  <si>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</si>
  <si>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</si>
  <si>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</si>
  <si>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</si>
  <si>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</si>
  <si>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</si>
  <si>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</si>
  <si>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</si>
  <si>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</si>
  <si>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</si>
  <si>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</si>
  <si>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</si>
  <si>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</si>
  <si>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</si>
  <si>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</si>
  <si>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</si>
  <si>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</si>
  <si>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</si>
  <si>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</si>
  <si>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</si>
  <si>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</si>
  <si>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</si>
  <si>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</si>
  <si>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</si>
  <si>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</si>
  <si>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</si>
  <si>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</si>
  <si>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</si>
  <si>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</si>
  <si>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</si>
  <si>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</si>
  <si>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</si>
  <si>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</si>
  <si>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</si>
  <si>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</si>
  <si>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</si>
  <si>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</si>
  <si>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</si>
  <si>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</si>
  <si>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</si>
  <si>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</si>
  <si>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</si>
  <si>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</si>
  <si>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</si>
  <si>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</si>
  <si>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</si>
  <si>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</si>
  <si>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</si>
  <si>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</si>
  <si>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</si>
  <si>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</si>
  <si>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</si>
  <si>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</si>
  <si>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</si>
  <si>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</si>
  <si>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</si>
  <si>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</si>
  <si>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</si>
  <si>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</si>
  <si>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</si>
  <si>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</si>
  <si>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</si>
  <si>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</si>
  <si>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</si>
  <si>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</si>
  <si>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</si>
  <si>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</si>
  <si>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</si>
  <si>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</si>
  <si>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</si>
  <si>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</si>
  <si>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</si>
  <si>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</si>
  <si>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</si>
  <si>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</si>
  <si>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</si>
  <si>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</si>
  <si>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</si>
  <si>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</si>
  <si>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</si>
  <si>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</si>
  <si>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</si>
  <si>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</si>
  <si>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</si>
  <si>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</si>
  <si>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</si>
  <si>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</si>
  <si>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</si>
  <si>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</si>
  <si>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</si>
  <si>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</si>
  <si>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</si>
  <si>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</si>
  <si>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</si>
  <si>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</si>
  <si>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</si>
  <si>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</si>
  <si>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</si>
  <si>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</si>
  <si>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</si>
  <si>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</si>
  <si>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</si>
  <si>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</si>
  <si>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</si>
  <si>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</si>
  <si>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</si>
  <si>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</si>
  <si>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</si>
  <si>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</si>
  <si>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</si>
  <si>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</si>
  <si>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</si>
  <si>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</si>
  <si>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</si>
  <si>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</si>
  <si>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</si>
  <si>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</si>
  <si>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</si>
  <si>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</si>
  <si>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</si>
  <si>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</si>
  <si>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</si>
  <si>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</si>
  <si>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</si>
  <si>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</si>
  <si>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</si>
  <si>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</si>
  <si>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</si>
  <si>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</si>
  <si>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</si>
  <si>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</si>
  <si>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</si>
  <si>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</si>
  <si>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</si>
  <si>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</si>
  <si>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</si>
  <si>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</si>
  <si>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</si>
  <si>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</si>
  <si>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</si>
  <si>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</si>
  <si>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</si>
  <si>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</si>
  <si>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</si>
  <si>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</si>
  <si>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</si>
  <si>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</si>
  <si>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</si>
  <si>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</si>
  <si>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</si>
  <si>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</si>
  <si>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</si>
  <si>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</si>
  <si>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</si>
  <si>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</si>
  <si>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</si>
  <si>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</si>
  <si>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</si>
  <si>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</si>
  <si>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</si>
  <si>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</si>
  <si>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</si>
  <si>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</si>
  <si>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</si>
  <si>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</si>
  <si>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</si>
  <si>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</si>
  <si>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</si>
  <si>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</si>
  <si>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</si>
  <si>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</si>
  <si>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</si>
  <si>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</si>
  <si>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</si>
  <si>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</si>
  <si>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</si>
  <si>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</si>
  <si>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</si>
  <si>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</si>
  <si>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</si>
  <si>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</si>
  <si>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</si>
  <si>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</si>
  <si>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</si>
  <si>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</si>
  <si>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</si>
  <si>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</si>
  <si>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</si>
  <si>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</si>
  <si>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</si>
  <si>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</si>
  <si>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</si>
  <si>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</si>
  <si>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</si>
  <si>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</si>
  <si>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</si>
  <si>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</si>
  <si>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</si>
  <si>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</si>
  <si>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</si>
  <si>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</si>
  <si>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</si>
  <si>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</si>
  <si>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</si>
  <si>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</si>
  <si>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</si>
  <si>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</si>
  <si>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</si>
  <si>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</si>
  <si>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</si>
  <si>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</si>
  <si>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</si>
  <si>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</si>
  <si>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</si>
  <si>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</si>
  <si>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</si>
  <si>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</si>
  <si>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</si>
  <si>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</si>
  <si>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</si>
  <si>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</si>
  <si>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</si>
  <si>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</si>
  <si>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</si>
  <si>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</si>
  <si>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</si>
  <si>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</si>
  <si>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</si>
  <si>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</si>
  <si>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</si>
  <si>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</si>
  <si>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</si>
  <si>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</si>
  <si>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</si>
  <si>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</si>
  <si>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</si>
  <si>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</si>
  <si>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</si>
  <si>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</si>
  <si>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</si>
  <si>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</si>
  <si>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</si>
  <si>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</si>
  <si>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</si>
  <si>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</si>
  <si>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</si>
  <si>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</si>
  <si>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</si>
  <si>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</si>
  <si>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</si>
  <si>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</si>
  <si>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</si>
  <si>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</si>
  <si>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</si>
  <si>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</si>
  <si>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</si>
  <si>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</si>
  <si>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</si>
  <si>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</si>
  <si>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</si>
  <si>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</si>
  <si>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</si>
  <si>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</si>
  <si>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</si>
  <si>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</si>
  <si>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</si>
  <si>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</si>
  <si>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</si>
  <si>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</si>
  <si>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</si>
  <si>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</si>
  <si>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</si>
  <si>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</si>
  <si>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</si>
  <si>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</si>
  <si>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</si>
  <si>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</si>
  <si>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</si>
  <si>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</si>
  <si>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</si>
  <si>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</si>
  <si>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</si>
  <si>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</si>
  <si>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</si>
  <si>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</si>
  <si>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</si>
  <si>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</si>
  <si>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</si>
  <si>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</si>
  <si>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</si>
  <si>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</si>
  <si>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</si>
  <si>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</si>
  <si>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</si>
  <si>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</si>
  <si>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</si>
  <si>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</si>
  <si>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</si>
  <si>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</si>
  <si>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</si>
  <si>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</si>
  <si>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</si>
  <si>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</si>
  <si>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</si>
  <si>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</si>
  <si>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</si>
  <si>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</si>
  <si>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</si>
  <si>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</si>
  <si>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</si>
  <si>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</si>
  <si>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</si>
  <si>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</si>
  <si>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</si>
  <si>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</si>
  <si>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</si>
  <si>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</si>
  <si>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</si>
  <si>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</si>
  <si>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</si>
  <si>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</si>
  <si>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</si>
  <si>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</si>
  <si>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</si>
  <si>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</si>
  <si>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</si>
  <si>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</si>
  <si>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</si>
  <si>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</si>
  <si>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</si>
  <si>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</si>
  <si>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</si>
  <si>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</si>
  <si>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</si>
  <si>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</si>
  <si>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</si>
  <si>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</si>
  <si>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</si>
  <si>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</si>
  <si>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</si>
  <si>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</si>
  <si>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</si>
  <si>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</si>
  <si>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</si>
  <si>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</si>
  <si>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</si>
  <si>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</si>
  <si>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</si>
  <si>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</si>
  <si>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</si>
  <si>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</si>
  <si>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</si>
  <si>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</si>
  <si>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</si>
  <si>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</si>
  <si>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</si>
  <si>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</si>
  <si>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</si>
  <si>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</si>
  <si>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</si>
  <si>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</si>
  <si>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</si>
  <si>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</si>
  <si>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</si>
  <si>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</si>
  <si>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</si>
  <si>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</si>
  <si>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</si>
  <si>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</si>
  <si>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</si>
  <si>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</si>
  <si>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</si>
  <si>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</si>
  <si>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</si>
  <si>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</si>
  <si>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</si>
  <si>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</si>
  <si>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</si>
  <si>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</si>
  <si>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</si>
  <si>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</si>
  <si>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</si>
  <si>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</si>
  <si>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</si>
  <si>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</si>
  <si>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</si>
  <si>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</si>
  <si>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</si>
  <si>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</si>
  <si>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</si>
  <si>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</si>
  <si>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</si>
  <si>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</si>
  <si>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</si>
  <si>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</si>
  <si>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</si>
  <si>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</si>
  <si>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</si>
  <si>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</si>
  <si>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</si>
  <si>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</si>
  <si>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</si>
  <si>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</si>
  <si>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</si>
  <si>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</si>
  <si>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</si>
  <si>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</si>
  <si>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</si>
  <si>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</si>
  <si>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</si>
  <si>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</si>
  <si>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</si>
  <si>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</si>
  <si>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</si>
  <si>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</si>
  <si>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</si>
  <si>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</si>
  <si>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</si>
  <si>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</si>
  <si>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</si>
  <si>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</si>
  <si>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</si>
  <si>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</si>
  <si>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</si>
  <si>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</si>
  <si>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</si>
  <si>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</si>
  <si>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</si>
  <si>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</si>
  <si>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</si>
  <si>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</si>
  <si>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</si>
  <si>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</si>
  <si>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</si>
  <si>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</si>
  <si>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</si>
  <si>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</si>
  <si>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</si>
  <si>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</si>
  <si>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</si>
  <si>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</si>
  <si>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</si>
  <si>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</si>
  <si>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</si>
  <si>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</si>
  <si>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</si>
  <si>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</si>
  <si>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</si>
  <si>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</si>
  <si>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</si>
  <si>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</si>
  <si>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</si>
  <si>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</si>
  <si>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</si>
  <si>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</si>
  <si>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</si>
  <si>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</si>
  <si>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</si>
  <si>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</si>
  <si>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</si>
  <si>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</si>
  <si>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</si>
  <si>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</si>
  <si>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</si>
  <si>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</si>
  <si>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</si>
  <si>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</si>
  <si>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</si>
  <si>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</si>
  <si>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</si>
  <si>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</si>
  <si>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</si>
  <si>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</si>
  <si>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</si>
  <si>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</si>
  <si>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</si>
  <si>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</si>
  <si>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</si>
  <si>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</si>
  <si>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</si>
  <si>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</si>
  <si>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</si>
  <si>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</si>
  <si>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</si>
  <si>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</si>
  <si>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</si>
  <si>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</si>
  <si>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</si>
  <si>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</si>
  <si>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</si>
  <si>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</si>
  <si>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</si>
  <si>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</si>
  <si>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</si>
  <si>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</si>
  <si>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</si>
  <si>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</si>
  <si>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</si>
  <si>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</si>
  <si>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</si>
  <si>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</si>
  <si>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</si>
  <si>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</si>
  <si>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</si>
  <si>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</si>
  <si>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</si>
  <si>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</si>
  <si>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</si>
  <si>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</si>
  <si>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</si>
  <si>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</si>
  <si>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</si>
  <si>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</si>
  <si>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</si>
  <si>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</si>
  <si>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</si>
  <si>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</si>
  <si>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</si>
  <si>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</si>
  <si>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</si>
  <si>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</si>
  <si>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</si>
  <si>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</si>
  <si>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</si>
  <si>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</si>
  <si>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</si>
  <si>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</si>
  <si>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</si>
  <si>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</si>
  <si>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</si>
  <si>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</si>
  <si>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</si>
  <si>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</si>
  <si>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</si>
  <si>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</si>
  <si>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</si>
  <si>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</si>
  <si>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</si>
  <si>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</si>
  <si>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</si>
  <si>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</si>
  <si>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</si>
  <si>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</si>
  <si>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</si>
  <si>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</si>
  <si>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</si>
  <si>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</si>
  <si>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</si>
  <si>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</si>
  <si>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</si>
  <si>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</si>
  <si>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</si>
  <si>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</si>
  <si>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</si>
  <si>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</si>
  <si>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</si>
  <si>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</si>
  <si>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</si>
  <si>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</si>
  <si>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</si>
  <si>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</si>
  <si>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</si>
  <si>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</si>
  <si>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</si>
  <si>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</si>
  <si>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</si>
  <si>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</si>
  <si>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</si>
  <si>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</si>
  <si>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</si>
  <si>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</si>
  <si>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</si>
  <si>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</si>
  <si>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</si>
  <si>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</si>
  <si>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</si>
  <si>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</si>
  <si>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</si>
  <si>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</si>
  <si>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</si>
  <si>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</si>
  <si>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</si>
  <si>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</si>
  <si>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</si>
  <si>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</si>
  <si>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</si>
  <si>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</si>
  <si>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</si>
  <si>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</si>
  <si>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</si>
  <si>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</si>
  <si>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</si>
  <si>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</si>
  <si>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</si>
  <si>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</si>
  <si>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</si>
  <si>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</si>
  <si>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</si>
  <si>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</si>
  <si>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</si>
  <si>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</si>
  <si>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</si>
  <si>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</si>
  <si>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</si>
  <si>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</si>
  <si>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</si>
  <si>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</si>
  <si>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</si>
  <si>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</si>
  <si>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</si>
  <si>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</si>
  <si>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</si>
  <si>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</si>
  <si>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</si>
  <si>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</si>
  <si>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</si>
  <si>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</si>
  <si>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</si>
  <si>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</si>
  <si>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</si>
  <si>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</si>
  <si>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</si>
  <si>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</si>
  <si>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</si>
  <si>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</si>
  <si>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</si>
  <si>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</si>
  <si>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</si>
  <si>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</si>
  <si>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</si>
  <si>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</si>
  <si>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</si>
  <si>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</si>
  <si>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</si>
  <si>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</si>
  <si>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</si>
  <si>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</si>
  <si>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</si>
  <si>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</si>
  <si>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</si>
  <si>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</si>
  <si>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</si>
  <si>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</si>
  <si>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</si>
  <si>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</si>
  <si>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</si>
  <si>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</si>
  <si>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</si>
  <si>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</si>
  <si>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</si>
  <si>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</si>
  <si>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</si>
  <si>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</si>
  <si>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</si>
  <si>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</si>
  <si>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</si>
  <si>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</si>
  <si>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</si>
  <si>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</si>
  <si>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</si>
  <si>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</si>
  <si>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</si>
  <si>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</si>
  <si>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</si>
  <si>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</si>
  <si>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</si>
  <si>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</si>
  <si>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</si>
  <si>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</si>
  <si>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</si>
  <si>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</si>
  <si>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</si>
  <si>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</si>
  <si>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</si>
  <si>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</si>
  <si>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</si>
  <si>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</si>
  <si>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</si>
  <si>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</si>
  <si>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</si>
  <si>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</si>
  <si>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</si>
  <si>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</si>
  <si>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</si>
  <si>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</si>
  <si>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</si>
  <si>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</si>
  <si>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</si>
  <si>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</si>
  <si>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</si>
  <si>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</si>
  <si>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</si>
  <si>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</si>
  <si>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</si>
  <si>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</si>
  <si>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</si>
  <si>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</si>
  <si>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</si>
  <si>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</si>
  <si>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</si>
  <si>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</si>
  <si>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</si>
  <si>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</si>
  <si>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</si>
  <si>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</si>
  <si>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</si>
  <si>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</si>
  <si>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</si>
  <si>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</si>
  <si>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</si>
  <si>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</si>
  <si>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</si>
  <si>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</si>
  <si>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</si>
  <si>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</si>
  <si>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</si>
  <si>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</si>
  <si>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</si>
  <si>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</si>
  <si>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</si>
  <si>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</si>
  <si>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</si>
  <si>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</si>
  <si>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</si>
  <si>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</si>
  <si>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</si>
  <si>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</si>
  <si>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</si>
  <si>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</si>
  <si>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</si>
  <si>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</si>
  <si>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</si>
  <si>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</si>
  <si>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</si>
  <si>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</si>
  <si>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</si>
  <si>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</si>
  <si>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</si>
  <si>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</si>
  <si>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</si>
  <si>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</si>
  <si>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</si>
  <si>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</si>
  <si>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</si>
  <si>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</si>
  <si>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</si>
  <si>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</si>
  <si>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</si>
  <si>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</si>
  <si>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</si>
  <si>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</si>
  <si>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</si>
  <si>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</si>
  <si>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</si>
  <si>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</si>
  <si>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</si>
  <si>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</si>
  <si>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</si>
  <si>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</si>
  <si>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</si>
  <si>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</si>
  <si>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</si>
  <si>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</si>
  <si>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</si>
  <si>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</si>
  <si>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</si>
  <si>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</si>
  <si>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</si>
  <si>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</si>
  <si>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</si>
  <si>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</si>
  <si>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</si>
  <si>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</si>
  <si>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</si>
  <si>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</si>
  <si>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</si>
  <si>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</si>
  <si>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</si>
  <si>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</si>
  <si>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</si>
  <si>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</si>
  <si>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</si>
  <si>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</si>
  <si>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</si>
  <si>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</si>
  <si>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</si>
  <si>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</si>
  <si>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</si>
  <si>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</si>
  <si>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</si>
  <si>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</si>
  <si>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</si>
  <si>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</si>
  <si>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</si>
  <si>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</si>
  <si>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</si>
  <si>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</si>
  <si>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</si>
  <si>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</si>
  <si>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</si>
  <si>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</si>
  <si>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</si>
  <si>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</si>
  <si>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</si>
  <si>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</si>
  <si>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</si>
  <si>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</si>
  <si>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</si>
  <si>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</si>
  <si>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</si>
  <si>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</si>
  <si>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</si>
  <si>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</si>
  <si>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</si>
  <si>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</si>
  <si>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</si>
  <si>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</si>
  <si>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</si>
  <si>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</si>
  <si>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</si>
  <si>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</si>
  <si>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</si>
  <si>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</si>
  <si>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</si>
  <si>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</si>
  <si>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</si>
  <si>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</si>
  <si>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</si>
  <si>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</si>
  <si>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</si>
  <si>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</si>
  <si>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</si>
  <si>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</si>
  <si>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</si>
  <si>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</si>
  <si>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</si>
  <si>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</si>
  <si>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</si>
  <si>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</si>
  <si>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</si>
  <si>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</si>
  <si>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</si>
  <si>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</si>
  <si>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</si>
  <si>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</si>
  <si>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</si>
  <si>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</si>
  <si>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</si>
  <si>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</si>
  <si>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</si>
  <si>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</si>
  <si>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</si>
  <si>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</si>
  <si>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</si>
  <si>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</si>
  <si>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</si>
  <si>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</si>
  <si>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</si>
  <si>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</si>
  <si>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</si>
  <si>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</si>
  <si>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</si>
  <si>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</si>
  <si>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</si>
  <si>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</si>
  <si>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</si>
  <si>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</si>
  <si>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</si>
  <si>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</si>
  <si>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</si>
  <si>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</si>
  <si>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</si>
  <si>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</si>
  <si>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</si>
  <si>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</si>
  <si>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</si>
  <si>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</si>
  <si>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</si>
  <si>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</si>
  <si>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</si>
  <si>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</si>
  <si>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</si>
  <si>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</si>
  <si>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</si>
  <si>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</si>
  <si>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</si>
  <si>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</si>
  <si>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</si>
  <si>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</si>
  <si>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</si>
  <si>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</si>
  <si>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</si>
  <si>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</si>
  <si>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</si>
  <si>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</si>
  <si>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</si>
  <si>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</si>
  <si>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</si>
  <si>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</si>
  <si>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</si>
  <si>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</si>
  <si>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</si>
  <si>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</si>
  <si>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</si>
  <si>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</si>
  <si>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</si>
  <si>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</si>
  <si>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</si>
  <si>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</si>
  <si>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</si>
  <si>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</si>
  <si>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</si>
  <si>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</si>
  <si>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</si>
  <si>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</si>
  <si>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</si>
  <si>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</si>
  <si>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</si>
  <si>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</si>
  <si>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</si>
  <si>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</si>
  <si>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</si>
  <si>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</si>
  <si>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</si>
  <si>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</si>
  <si>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</si>
  <si>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</si>
  <si>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</si>
  <si>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</si>
  <si>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</si>
  <si>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</si>
  <si>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</si>
  <si>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</si>
  <si>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</si>
  <si>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</si>
  <si>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</si>
  <si>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</si>
  <si>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</si>
  <si>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</si>
  <si>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</si>
  <si>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</si>
  <si>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</si>
  <si>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</si>
  <si>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</si>
  <si>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</si>
  <si>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</si>
  <si>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</si>
  <si>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</si>
  <si>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</si>
  <si>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</si>
  <si>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</si>
  <si>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</si>
  <si>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</si>
  <si>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</si>
  <si>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</si>
  <si>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</si>
  <si>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</si>
  <si>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</si>
  <si>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</si>
  <si>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</si>
  <si>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</si>
  <si>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</si>
  <si>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</si>
  <si>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</si>
  <si>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</si>
  <si>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</si>
  <si>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</si>
  <si>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</si>
  <si>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</si>
  <si>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</si>
  <si>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</si>
  <si>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</si>
  <si>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</si>
  <si>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</si>
  <si>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</si>
  <si>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</si>
  <si>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</si>
  <si>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</si>
  <si>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</si>
  <si>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</si>
  <si>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</si>
  <si>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</si>
  <si>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</si>
  <si>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</si>
  <si>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</si>
  <si>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</si>
  <si>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</si>
  <si>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</si>
  <si>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</si>
  <si>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</si>
  <si>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</si>
  <si>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</si>
  <si>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</si>
  <si>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</si>
  <si>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</si>
  <si>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</si>
  <si>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</si>
  <si>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</si>
  <si>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</si>
  <si>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</si>
  <si>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</si>
  <si>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</si>
  <si>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</si>
  <si>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</si>
  <si>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</si>
  <si>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</si>
  <si>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</si>
  <si>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</si>
  <si>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</si>
  <si>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</si>
  <si>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</si>
  <si>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</si>
  <si>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</si>
  <si>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</si>
  <si>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</si>
  <si>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</si>
  <si>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</si>
  <si>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</si>
  <si>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</si>
  <si>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</si>
  <si>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</si>
  <si>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</si>
  <si>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</si>
  <si>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</si>
  <si>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</si>
  <si>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</si>
  <si>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</si>
  <si>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</si>
  <si>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</si>
  <si>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</si>
  <si>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</si>
  <si>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</si>
  <si>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</si>
  <si>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</si>
  <si>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</si>
  <si>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</si>
  <si>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</si>
  <si>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</si>
  <si>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</si>
  <si>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</si>
  <si>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</si>
  <si>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</si>
  <si>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</si>
  <si>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</si>
  <si>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</si>
  <si>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</si>
  <si>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</si>
  <si>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</si>
  <si>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</si>
  <si>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</si>
  <si>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</si>
  <si>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</si>
  <si>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</si>
  <si>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</si>
  <si>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</si>
  <si>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</si>
  <si>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</si>
  <si>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</si>
  <si>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</si>
  <si>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</si>
  <si>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</si>
  <si>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</si>
  <si>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</si>
  <si>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</si>
  <si>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</si>
  <si>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</si>
  <si>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</si>
  <si>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</si>
  <si>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</si>
  <si>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</si>
  <si>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</si>
  <si>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</si>
  <si>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</si>
  <si>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</si>
  <si>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</si>
  <si>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</si>
  <si>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</si>
  <si>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</si>
  <si>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</si>
  <si>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</si>
  <si>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</si>
  <si>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</si>
  <si>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</si>
  <si>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</si>
  <si>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</si>
  <si>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</si>
  <si>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</si>
  <si>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</si>
  <si>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</si>
  <si>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</si>
  <si>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</si>
  <si>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</si>
  <si>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</si>
  <si>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</si>
  <si>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</si>
  <si>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</si>
  <si>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</si>
  <si>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</si>
  <si>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</si>
  <si>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</si>
  <si>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</si>
  <si>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</si>
  <si>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</si>
  <si>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</si>
  <si>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</si>
  <si>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</si>
  <si>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</si>
  <si>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</si>
  <si>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</si>
  <si>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</si>
  <si>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</si>
  <si>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</si>
  <si>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</si>
  <si>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</si>
  <si>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</si>
  <si>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</si>
  <si>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</si>
  <si>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</si>
  <si>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</si>
  <si>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</si>
  <si>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</si>
  <si>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</si>
  <si>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</si>
  <si>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</si>
  <si>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</si>
  <si>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</si>
  <si>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</si>
  <si>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</si>
  <si>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</si>
  <si>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</si>
  <si>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</si>
  <si>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</si>
  <si>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</si>
  <si>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</si>
  <si>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</si>
  <si>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</si>
  <si>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</si>
  <si>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</si>
  <si>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</si>
  <si>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</si>
  <si>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</si>
  <si>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</si>
  <si>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</si>
  <si>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</si>
  <si>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</si>
  <si>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</si>
  <si>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</si>
  <si>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</si>
  <si>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</si>
  <si>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</si>
  <si>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</si>
  <si>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</si>
  <si>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</si>
  <si>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</si>
  <si>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</si>
  <si>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</si>
  <si>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</si>
  <si>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</si>
  <si>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</si>
  <si>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</si>
  <si>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</si>
  <si>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</si>
  <si>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</si>
  <si>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</si>
  <si>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</si>
  <si>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</si>
  <si>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</si>
  <si>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</si>
  <si>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</si>
  <si>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</si>
  <si>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</si>
  <si>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</si>
  <si>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</si>
  <si>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</si>
  <si>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</si>
  <si>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</si>
  <si>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</si>
  <si>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</si>
  <si>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</si>
  <si>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</si>
  <si>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</si>
  <si>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</si>
  <si>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</si>
  <si>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</si>
  <si>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</si>
  <si>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</si>
  <si>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</si>
  <si>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</si>
  <si>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</si>
  <si>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</si>
  <si>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</si>
  <si>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</si>
  <si>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</si>
  <si>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</si>
  <si>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</si>
  <si>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</si>
  <si>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</si>
  <si>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</si>
  <si>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</si>
  <si>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</si>
  <si>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</si>
  <si>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</si>
  <si>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</si>
  <si>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</si>
  <si>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</si>
  <si>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</si>
  <si>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</si>
  <si>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</si>
  <si>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</si>
  <si>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</si>
  <si>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</si>
  <si>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</si>
  <si>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</si>
  <si>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</si>
  <si>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</si>
  <si>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</si>
  <si>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</si>
  <si>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</si>
  <si>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</si>
  <si>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</si>
  <si>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</si>
  <si>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</si>
  <si>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</si>
  <si>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</si>
  <si>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</si>
  <si>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</si>
  <si>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</si>
  <si>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</si>
  <si>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</si>
  <si>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</si>
  <si>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</si>
  <si>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</si>
  <si>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</si>
  <si>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</si>
  <si>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</si>
  <si>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</si>
  <si>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</si>
  <si>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</si>
  <si>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</si>
  <si>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</si>
  <si>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</si>
  <si>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</si>
  <si>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</si>
  <si>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</si>
  <si>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</si>
  <si>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</si>
  <si>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</si>
  <si>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</si>
  <si>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</si>
  <si>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</si>
  <si>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</si>
  <si>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</si>
  <si>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</si>
  <si>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</si>
  <si>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</si>
  <si>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</si>
  <si>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</si>
  <si>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</si>
  <si>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</si>
  <si>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</si>
  <si>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</si>
  <si>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</si>
  <si>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</si>
  <si>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</si>
  <si>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</si>
  <si>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</si>
  <si>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</si>
  <si>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</si>
  <si>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</si>
  <si>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</si>
  <si>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</si>
  <si>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</si>
  <si>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</si>
  <si>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</si>
  <si>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</si>
  <si>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</si>
  <si>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</si>
  <si>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</si>
  <si>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</si>
  <si>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</si>
  <si>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</si>
  <si>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</si>
  <si>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</si>
  <si>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</si>
  <si>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</si>
  <si>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</si>
  <si>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</si>
  <si>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</si>
  <si>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</si>
  <si>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</si>
  <si>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</si>
  <si>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</si>
  <si>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</si>
  <si>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</si>
  <si>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</si>
  <si>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</si>
  <si>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</si>
  <si>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</si>
  <si>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</si>
  <si>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</si>
  <si>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</si>
  <si>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</si>
  <si>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</si>
  <si>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</si>
  <si>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</si>
  <si>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</si>
  <si>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</si>
  <si>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</si>
  <si>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</si>
  <si>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</si>
  <si>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</si>
  <si>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</si>
  <si>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</si>
  <si>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</si>
  <si>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</si>
  <si>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</si>
  <si>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</si>
  <si>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</si>
  <si>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</si>
  <si>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</si>
  <si>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</si>
  <si>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</si>
  <si>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</si>
  <si>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</si>
  <si>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</si>
  <si>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</si>
  <si>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</si>
  <si>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</si>
  <si>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</si>
  <si>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</si>
  <si>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</si>
  <si>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</si>
  <si>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</si>
  <si>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</si>
  <si>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</si>
  <si>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</si>
  <si>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</si>
  <si>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</si>
  <si>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</si>
  <si>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</si>
  <si>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</si>
  <si>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</si>
  <si>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</si>
  <si>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</si>
  <si>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</si>
  <si>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</si>
  <si>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</si>
  <si>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</si>
  <si>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</si>
  <si>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</si>
  <si>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</si>
  <si>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</si>
  <si>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</si>
  <si>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</si>
  <si>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</si>
  <si>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</si>
  <si>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</si>
  <si>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</si>
  <si>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</si>
  <si>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</si>
  <si>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</si>
  <si>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</si>
  <si>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</si>
  <si>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</si>
  <si>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</si>
  <si>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</si>
  <si>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</si>
  <si>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</si>
  <si>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</si>
  <si>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</si>
  <si>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</si>
  <si>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</si>
  <si>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</si>
  <si>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</si>
  <si>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</si>
  <si>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</si>
  <si>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</si>
  <si>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</si>
  <si>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</si>
  <si>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</si>
  <si>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</si>
  <si>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</si>
  <si>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</si>
  <si>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</si>
  <si>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</si>
  <si>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</si>
  <si>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</si>
  <si>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</si>
  <si>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</si>
  <si>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</si>
  <si>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</si>
  <si>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</si>
  <si>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</si>
  <si>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</si>
  <si>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</si>
  <si>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</si>
  <si>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</si>
  <si>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</si>
  <si>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</si>
  <si>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</si>
  <si>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</si>
  <si>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</si>
  <si>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</si>
  <si>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</si>
  <si>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</si>
  <si>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</si>
  <si>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</si>
  <si>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</si>
  <si>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</si>
  <si>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</si>
  <si>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</si>
  <si>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</si>
  <si>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</si>
  <si>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</si>
  <si>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</si>
  <si>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</si>
  <si>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</si>
  <si>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</si>
  <si>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</si>
  <si>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</si>
  <si>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</si>
  <si>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</si>
  <si>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</si>
  <si>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</si>
  <si>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</si>
  <si>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</si>
  <si>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</si>
  <si>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</si>
  <si>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</si>
  <si>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</si>
  <si>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</si>
  <si>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</si>
  <si>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</si>
  <si>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</si>
  <si>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</si>
  <si>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</si>
  <si>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</si>
  <si>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</si>
  <si>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</si>
  <si>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</si>
  <si>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</si>
  <si>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</si>
  <si>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</si>
  <si>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</si>
  <si>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</si>
  <si>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</si>
  <si>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</si>
  <si>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</si>
  <si>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</si>
  <si>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</si>
  <si>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</si>
  <si>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</si>
  <si>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</si>
  <si>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</si>
  <si>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</si>
  <si>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</si>
  <si>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</si>
  <si>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</si>
  <si>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</si>
  <si>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</si>
  <si>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</si>
  <si>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</si>
  <si>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</si>
  <si>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</si>
  <si>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</si>
  <si>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</si>
  <si>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</si>
  <si>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</si>
  <si>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</si>
  <si>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</si>
  <si>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</si>
  <si>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</si>
  <si>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</si>
  <si>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</si>
  <si>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</si>
  <si>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</si>
  <si>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</si>
  <si>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</si>
  <si>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</si>
  <si>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</si>
  <si>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</si>
  <si>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</si>
  <si>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</si>
  <si>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</si>
  <si>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</si>
  <si>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</si>
  <si>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</si>
  <si>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</si>
  <si>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</si>
  <si>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</si>
  <si>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</si>
  <si>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</si>
  <si>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</si>
  <si>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</si>
  <si>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</si>
  <si>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</si>
  <si>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</si>
  <si>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</si>
  <si>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</si>
  <si>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</si>
  <si>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</si>
  <si>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</si>
  <si>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</si>
  <si>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</si>
  <si>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</si>
  <si>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</si>
  <si>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</si>
  <si>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</si>
  <si>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</si>
  <si>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</si>
  <si>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</si>
  <si>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</si>
  <si>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</si>
  <si>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</si>
  <si>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</si>
  <si>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</si>
  <si>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</si>
  <si>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</si>
  <si>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</si>
  <si>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</si>
  <si>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</si>
  <si>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</si>
  <si>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</si>
  <si>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</si>
  <si>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</si>
  <si>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</si>
  <si>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</si>
  <si>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</si>
  <si>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</si>
  <si>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</si>
  <si>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</si>
  <si>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</si>
  <si>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</si>
  <si>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</si>
  <si>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</si>
  <si>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</si>
  <si>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</si>
  <si>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</si>
  <si>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</si>
  <si>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</si>
  <si>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</si>
  <si>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</si>
  <si>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</si>
  <si>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</si>
  <si>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</si>
  <si>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</si>
  <si>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</si>
  <si>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</si>
  <si>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</si>
  <si>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</si>
  <si>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</si>
  <si>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</si>
  <si>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</si>
  <si>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</si>
  <si>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</si>
  <si>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</si>
  <si>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</si>
  <si>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</si>
  <si>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</si>
  <si>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</si>
  <si>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</si>
  <si>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</si>
  <si>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</si>
  <si>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</si>
  <si>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</si>
  <si>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</si>
  <si>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</si>
  <si>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</si>
  <si>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</si>
  <si>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</si>
  <si>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</si>
  <si>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</si>
  <si>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</si>
  <si>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</si>
  <si>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</si>
  <si>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</si>
  <si>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</si>
  <si>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</si>
  <si>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</si>
  <si>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</si>
  <si>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</si>
  <si>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</si>
  <si>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</si>
  <si>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</si>
  <si>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</si>
  <si>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</si>
  <si>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</si>
  <si>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</si>
  <si>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</si>
  <si>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</si>
  <si>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</si>
  <si>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</si>
  <si>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</si>
  <si>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</si>
  <si>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</si>
  <si>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</si>
  <si>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</si>
  <si>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</si>
  <si>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</si>
  <si>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</si>
  <si>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</si>
  <si>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</si>
  <si>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</si>
  <si>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</si>
  <si>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</si>
  <si>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</si>
  <si>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</si>
  <si>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</si>
  <si>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</si>
  <si>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</si>
  <si>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</si>
  <si>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</si>
  <si>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</si>
  <si>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</si>
  <si>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</si>
  <si>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</si>
  <si>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</si>
  <si>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</si>
  <si>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</si>
  <si>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</si>
  <si>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</si>
  <si>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</si>
  <si>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</si>
  <si>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</si>
  <si>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</si>
  <si>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</si>
  <si>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</si>
  <si>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</si>
  <si>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</si>
  <si>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</si>
  <si>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</si>
  <si>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</si>
  <si>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</si>
  <si>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</si>
  <si>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</si>
  <si>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</si>
  <si>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</si>
  <si>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</si>
  <si>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</si>
  <si>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</si>
  <si>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</si>
  <si>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</si>
  <si>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</si>
  <si>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</si>
  <si>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</si>
  <si>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</si>
  <si>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</si>
  <si>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</si>
  <si>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</si>
  <si>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</si>
  <si>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</si>
  <si>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</si>
  <si>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</si>
  <si>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</si>
  <si>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</si>
  <si>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</si>
  <si>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</si>
  <si>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</si>
  <si>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</si>
  <si>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</si>
  <si>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</si>
  <si>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</si>
  <si>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</si>
  <si>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</si>
  <si>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</si>
  <si>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</si>
  <si>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</si>
  <si>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</si>
  <si>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</si>
  <si>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</si>
  <si>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</si>
  <si>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</si>
  <si>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</si>
  <si>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</si>
  <si>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</si>
  <si>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</si>
  <si>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</si>
  <si>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</si>
  <si>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</si>
  <si>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</si>
  <si>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</si>
  <si>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</si>
  <si>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</si>
  <si>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</si>
  <si>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</si>
  <si>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</si>
  <si>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</si>
  <si>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</si>
  <si>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</si>
  <si>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</si>
  <si>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</si>
  <si>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</si>
  <si>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</si>
  <si>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</si>
  <si>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</si>
  <si>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</si>
  <si>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</si>
  <si>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</si>
  <si>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</si>
  <si>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</si>
  <si>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</si>
  <si>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</si>
  <si>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</si>
  <si>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</si>
  <si>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</si>
  <si>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</si>
  <si>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</si>
  <si>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</si>
  <si>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</si>
  <si>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</si>
  <si>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</si>
  <si>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</si>
  <si>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</si>
  <si>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</si>
  <si>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</si>
  <si>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</si>
  <si>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</si>
  <si>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</si>
  <si>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</si>
  <si>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</si>
  <si>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</si>
  <si>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</si>
  <si>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</si>
  <si>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</si>
  <si>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</si>
  <si>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</si>
  <si>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</si>
  <si>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</si>
  <si>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</si>
  <si>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</si>
  <si>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</si>
  <si>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</si>
  <si>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</si>
  <si>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</si>
  <si>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</si>
  <si>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</si>
  <si>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</si>
  <si>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</si>
  <si>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</si>
  <si>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</si>
  <si>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</si>
  <si>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</si>
  <si>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</si>
  <si>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</si>
  <si>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</si>
  <si>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</si>
  <si>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</si>
  <si>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</si>
  <si>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</si>
  <si>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</si>
  <si>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</si>
  <si>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</si>
  <si>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</si>
  <si>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</si>
  <si>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</si>
  <si>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</si>
  <si>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</si>
  <si>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</si>
  <si>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</si>
  <si>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</si>
  <si>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</si>
  <si>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</si>
  <si>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</si>
  <si>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</si>
  <si>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</si>
  <si>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</si>
  <si>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</si>
  <si>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</si>
  <si>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</si>
  <si>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</si>
  <si>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</si>
  <si>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</si>
  <si>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</si>
  <si>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</si>
  <si>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</si>
  <si>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</si>
  <si>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</si>
  <si>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</si>
  <si>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</si>
  <si>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</si>
  <si>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</si>
  <si>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</si>
  <si>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</si>
  <si>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</si>
  <si>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</si>
  <si>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</si>
  <si>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</si>
  <si>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</si>
  <si>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</si>
  <si>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</si>
  <si>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</si>
  <si>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</si>
  <si>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</si>
  <si>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</si>
  <si>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</si>
  <si>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</si>
  <si>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</si>
  <si>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</si>
  <si>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</si>
  <si>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</si>
  <si>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</si>
  <si>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</si>
  <si>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</si>
  <si>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</si>
  <si>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</si>
  <si>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</si>
  <si>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</si>
  <si>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</si>
  <si>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</si>
  <si>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</si>
  <si>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</si>
  <si>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</si>
  <si>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</si>
  <si>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</si>
  <si>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</si>
  <si>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</si>
  <si>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</si>
  <si>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</si>
  <si>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</si>
  <si>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</si>
  <si>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</si>
  <si>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</si>
  <si>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</si>
  <si>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</si>
  <si>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</si>
  <si>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</si>
  <si>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</si>
  <si>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</si>
  <si>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</si>
  <si>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</si>
  <si>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</si>
  <si>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</si>
  <si>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</si>
  <si>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</si>
  <si>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</si>
  <si>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</si>
  <si>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</si>
  <si>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</si>
  <si>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</si>
  <si>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</si>
  <si>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</si>
  <si>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</si>
  <si>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</si>
  <si>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</si>
  <si>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</si>
  <si>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</si>
  <si>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</si>
  <si>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</si>
  <si>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</si>
  <si>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</si>
  <si>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</si>
  <si>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</si>
  <si>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</si>
  <si>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</si>
  <si>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</si>
  <si>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</si>
  <si>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</si>
  <si>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</si>
  <si>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</si>
  <si>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</si>
  <si>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</si>
  <si>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</si>
  <si>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</si>
  <si>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</si>
  <si>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</si>
  <si>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</si>
  <si>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</si>
  <si>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</si>
  <si>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</si>
  <si>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</si>
  <si>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</si>
  <si>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</si>
  <si>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</si>
  <si>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</si>
  <si>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</si>
  <si>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</si>
  <si>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</si>
  <si>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</si>
  <si>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</si>
  <si>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</si>
  <si>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</si>
  <si>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</si>
  <si>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</si>
  <si>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</si>
  <si>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</si>
  <si>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</si>
  <si>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</si>
  <si>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</si>
  <si>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</si>
  <si>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</si>
  <si>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</si>
  <si>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</si>
  <si>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</si>
  <si>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</si>
  <si>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</si>
  <si>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</si>
  <si>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</si>
  <si>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</si>
  <si>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</si>
  <si>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</si>
  <si>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</si>
  <si>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</si>
  <si>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</si>
  <si>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</si>
  <si>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</si>
  <si>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</si>
  <si>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</si>
  <si>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</si>
  <si>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</si>
  <si>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</si>
  <si>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</si>
  <si>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</si>
  <si>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</si>
  <si>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</si>
  <si>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</si>
  <si>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</si>
  <si>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</si>
  <si>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</si>
  <si>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</si>
  <si>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</si>
  <si>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</si>
  <si>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</si>
  <si>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</si>
  <si>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</si>
  <si>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</si>
  <si>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</si>
  <si>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</si>
  <si>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</si>
  <si>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</si>
  <si>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</si>
  <si>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</si>
  <si>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</si>
  <si>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</si>
  <si>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</si>
  <si>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</si>
  <si>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</si>
  <si>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</si>
  <si>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</si>
  <si>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</si>
  <si>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</si>
  <si>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</si>
  <si>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</si>
  <si>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</si>
  <si>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</si>
  <si>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</si>
  <si>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</si>
  <si>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</si>
  <si>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</si>
  <si>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</si>
  <si>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</si>
  <si>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</si>
  <si>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</si>
  <si>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</si>
  <si>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</si>
  <si>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</si>
  <si>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</si>
  <si>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</si>
  <si>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</si>
  <si>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</si>
  <si>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</si>
  <si>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</si>
  <si>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</si>
  <si>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</si>
  <si>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</si>
  <si>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</si>
  <si>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</si>
  <si>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</si>
  <si>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</si>
  <si>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</si>
  <si>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</si>
  <si>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</si>
  <si>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</si>
  <si>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</si>
  <si>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</si>
  <si>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</si>
  <si>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</si>
  <si>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</si>
  <si>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</si>
  <si>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</si>
  <si>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</si>
  <si>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</si>
  <si>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</si>
  <si>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</si>
  <si>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</si>
  <si>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</si>
  <si>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</si>
  <si>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</si>
  <si>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</si>
  <si>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</si>
  <si>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</si>
  <si>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</si>
  <si>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</si>
  <si>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</si>
  <si>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</si>
  <si>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</si>
  <si>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</si>
  <si>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</si>
  <si>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</si>
  <si>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</si>
  <si>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</si>
  <si>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</si>
  <si>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</si>
  <si>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</si>
  <si>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</si>
  <si>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</si>
  <si>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</si>
  <si>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</si>
  <si>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</si>
  <si>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</si>
  <si>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</si>
  <si>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</si>
  <si>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</si>
  <si>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</si>
  <si>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</si>
  <si>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</si>
  <si>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</si>
  <si>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</si>
  <si>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</si>
  <si>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</si>
  <si>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</si>
  <si>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</si>
  <si>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</si>
  <si>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</si>
  <si>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</si>
  <si>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</si>
  <si>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</si>
  <si>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</si>
  <si>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</si>
  <si>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</si>
  <si>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</si>
  <si>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</si>
  <si>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</si>
  <si>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</si>
  <si>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</si>
  <si>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</si>
  <si>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</si>
  <si>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</si>
  <si>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</si>
  <si>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</si>
  <si>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</si>
  <si>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</si>
  <si>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</si>
  <si>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</si>
  <si>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</si>
  <si>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</si>
  <si>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</si>
  <si>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</si>
  <si>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</si>
  <si>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</si>
  <si>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</si>
  <si>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</si>
  <si>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</si>
  <si>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</si>
  <si>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</si>
  <si>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</si>
  <si>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</si>
  <si>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</si>
  <si>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</si>
  <si>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</si>
  <si>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</si>
  <si>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</si>
  <si>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</si>
  <si>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</si>
  <si>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</si>
  <si>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</si>
  <si>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</si>
  <si>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</si>
  <si>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</si>
  <si>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</si>
  <si>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</si>
  <si>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</si>
  <si>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</si>
  <si>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</si>
  <si>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</si>
  <si>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</si>
  <si>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</si>
  <si>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</si>
  <si>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</si>
  <si>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</si>
  <si>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</si>
  <si>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</si>
  <si>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</si>
  <si>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</si>
  <si>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</si>
  <si>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</si>
  <si>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</si>
  <si>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</si>
  <si>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</si>
  <si>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</si>
  <si>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</si>
  <si>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</si>
  <si>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</si>
  <si>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</si>
  <si>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</si>
  <si>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</si>
  <si>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</si>
  <si>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</si>
  <si>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</si>
  <si>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</si>
  <si>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</si>
  <si>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</si>
  <si>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</si>
  <si>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</si>
  <si>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</si>
  <si>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</si>
  <si>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</si>
  <si>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</si>
  <si>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</si>
  <si>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</si>
  <si>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</si>
  <si>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</si>
  <si>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</si>
  <si>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</si>
  <si>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</si>
  <si>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</si>
  <si>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</si>
  <si>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</si>
  <si>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</si>
  <si>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</si>
  <si>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</si>
  <si>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</si>
  <si>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</si>
  <si>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</si>
  <si>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</si>
  <si>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</si>
  <si>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</si>
  <si>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</si>
  <si>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</si>
  <si>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</si>
  <si>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</si>
  <si>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</si>
  <si>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</si>
  <si>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</si>
  <si>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</si>
  <si>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</si>
  <si>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</si>
  <si>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</si>
  <si>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</si>
  <si>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</si>
  <si>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</si>
  <si>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</si>
  <si>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</si>
  <si>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</si>
  <si>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</si>
  <si>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</si>
  <si>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</si>
  <si>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</si>
  <si>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</si>
  <si>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</si>
  <si>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</si>
  <si>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</si>
  <si>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</si>
  <si>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</si>
  <si>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</si>
  <si>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</si>
  <si>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</si>
  <si>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</si>
  <si>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</si>
  <si>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</si>
  <si>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</si>
  <si>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</si>
  <si>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</si>
  <si>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</si>
  <si>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</si>
  <si>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</si>
  <si>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</si>
  <si>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</si>
  <si>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</si>
  <si>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</si>
  <si>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</si>
  <si>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</si>
  <si>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</si>
  <si>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</si>
  <si>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</si>
  <si>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</si>
  <si>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</si>
  <si>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</si>
  <si>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</si>
  <si>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</si>
  <si>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</si>
  <si>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</si>
  <si>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</si>
  <si>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</si>
  <si>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</si>
  <si>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</si>
  <si>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</si>
  <si>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</si>
  <si>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</si>
  <si>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</si>
  <si>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</si>
  <si>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</si>
  <si>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</si>
  <si>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</si>
  <si>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</si>
  <si>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</si>
  <si>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</si>
  <si>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</si>
  <si>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</si>
  <si>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</si>
  <si>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</si>
  <si>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</si>
  <si>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</si>
  <si>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</si>
  <si>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</si>
  <si>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</si>
  <si>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</si>
  <si>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</si>
  <si>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</si>
  <si>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</si>
  <si>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</si>
  <si>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</si>
  <si>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</si>
  <si>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</si>
  <si>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</si>
  <si>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</si>
  <si>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</si>
  <si>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</si>
  <si>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</si>
  <si>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</si>
  <si>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</si>
  <si>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</si>
  <si>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</si>
  <si>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</si>
  <si>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</si>
  <si>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</si>
  <si>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</si>
  <si>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</si>
  <si>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</si>
  <si>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</si>
  <si>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</si>
  <si>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</si>
  <si>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</si>
  <si>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</si>
  <si>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</si>
  <si>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</si>
  <si>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</si>
  <si>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</si>
  <si>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</si>
  <si>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</si>
  <si>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</si>
  <si>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</si>
  <si>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</si>
  <si>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</si>
  <si>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</si>
  <si>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</si>
  <si>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</si>
  <si>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</si>
  <si>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</si>
  <si>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</si>
  <si>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</si>
  <si>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</si>
  <si>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</si>
  <si>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</si>
  <si>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</si>
  <si>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</si>
  <si>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</si>
  <si>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</si>
  <si>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</si>
  <si>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</si>
  <si>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</si>
  <si>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</si>
  <si>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</si>
  <si>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</si>
  <si>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</si>
  <si>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</si>
  <si>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</si>
  <si>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</si>
  <si>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</si>
  <si>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</si>
  <si>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</si>
  <si>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</si>
  <si>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</si>
  <si>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</si>
  <si>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</si>
  <si>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</si>
  <si>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</si>
  <si>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</si>
  <si>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</si>
  <si>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</si>
  <si>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</si>
  <si>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</si>
  <si>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</si>
  <si>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</si>
  <si>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</si>
  <si>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</si>
  <si>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</si>
  <si>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</si>
  <si>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</si>
  <si>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</si>
  <si>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</si>
  <si>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</si>
  <si>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</si>
  <si>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</si>
  <si>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</si>
  <si>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</si>
  <si>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</si>
  <si>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</si>
  <si>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</si>
  <si>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</si>
  <si>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</si>
  <si>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</si>
  <si>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</si>
  <si>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</si>
  <si>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</si>
  <si>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</si>
  <si>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</si>
  <si>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</si>
  <si>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</si>
  <si>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</si>
  <si>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</si>
  <si>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</si>
  <si>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</si>
  <si>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</si>
  <si>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</si>
  <si>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</si>
  <si>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</si>
  <si>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</si>
  <si>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</si>
  <si>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</si>
  <si>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</si>
  <si>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</si>
  <si>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</si>
  <si>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</si>
  <si>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</si>
  <si>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</si>
  <si>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</si>
  <si>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</si>
  <si>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</si>
  <si>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</si>
  <si>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</si>
  <si>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</si>
  <si>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</si>
  <si>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</si>
  <si>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</si>
  <si>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</si>
  <si>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</si>
  <si>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</si>
  <si>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</si>
  <si>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</si>
  <si>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</si>
  <si>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</si>
  <si>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</si>
  <si>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</si>
  <si>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</si>
  <si>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</si>
  <si>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</si>
  <si>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</si>
  <si>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</si>
  <si>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</si>
  <si>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</si>
  <si>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</si>
  <si>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</si>
  <si>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</si>
  <si>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</si>
  <si>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</si>
  <si>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</si>
  <si>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</si>
  <si>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</si>
  <si>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</si>
  <si>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</si>
  <si>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</si>
  <si>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</si>
  <si>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</si>
  <si>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</si>
  <si>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</si>
  <si>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</si>
  <si>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</si>
  <si>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</si>
  <si>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</si>
  <si>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</si>
  <si>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</si>
  <si>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</si>
  <si>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</si>
  <si>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</si>
  <si>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</si>
  <si>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</si>
  <si>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</si>
  <si>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</si>
  <si>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</si>
  <si>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</si>
  <si>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</si>
  <si>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</si>
  <si>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</si>
  <si>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</si>
  <si>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</si>
  <si>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</si>
  <si>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</si>
  <si>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</si>
  <si>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</si>
  <si>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</si>
  <si>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</si>
  <si>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</si>
  <si>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</si>
  <si>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</si>
  <si>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</si>
  <si>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</si>
  <si>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</si>
  <si>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</si>
  <si>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</si>
  <si>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</si>
  <si>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</si>
  <si>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</si>
  <si>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</si>
  <si>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</si>
  <si>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</si>
  <si>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</si>
  <si>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</si>
  <si>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</si>
  <si>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</si>
  <si>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</si>
  <si>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</si>
  <si>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</si>
  <si>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</si>
  <si>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</si>
  <si>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</si>
  <si>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</si>
  <si>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</si>
  <si>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</si>
  <si>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</si>
  <si>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</si>
  <si>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</si>
  <si>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</si>
  <si>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</si>
  <si>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</si>
  <si>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</si>
  <si>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</si>
  <si>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</si>
  <si>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</si>
  <si>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</si>
  <si>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</si>
  <si>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</si>
  <si>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</si>
  <si>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</si>
  <si>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</si>
  <si>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</si>
  <si>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</si>
  <si>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</si>
  <si>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</si>
  <si>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</si>
  <si>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</si>
  <si>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</si>
  <si>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</si>
  <si>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</si>
  <si>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</si>
  <si>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</si>
  <si>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</si>
  <si>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</si>
  <si>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</si>
  <si>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</si>
  <si>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</si>
  <si>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</si>
  <si>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</si>
  <si>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</si>
  <si>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</si>
  <si>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</si>
  <si>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</si>
  <si>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</si>
  <si>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</si>
  <si>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</si>
  <si>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</si>
  <si>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</si>
  <si>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</si>
  <si>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</si>
  <si>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</si>
  <si>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</si>
  <si>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</si>
  <si>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</si>
  <si>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</si>
  <si>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</si>
  <si>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</si>
  <si>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</si>
  <si>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</si>
  <si>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</si>
  <si>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</si>
  <si>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</si>
  <si>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</si>
  <si>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</si>
  <si>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</si>
  <si>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</si>
  <si>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</si>
  <si>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</si>
  <si>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</si>
  <si>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</si>
  <si>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</si>
  <si>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</si>
  <si>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</si>
  <si>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</si>
  <si>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</si>
  <si>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</si>
  <si>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</si>
  <si>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</si>
  <si>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</si>
  <si>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</si>
  <si>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</si>
  <si>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</si>
  <si>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</si>
  <si>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</si>
  <si>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</si>
  <si>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</si>
  <si>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</si>
  <si>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</si>
  <si>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</si>
  <si>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</si>
  <si>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</si>
  <si>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</si>
  <si>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</si>
  <si>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</si>
  <si>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</si>
  <si>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</si>
  <si>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</si>
  <si>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</si>
  <si>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</si>
  <si>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</si>
  <si>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</si>
  <si>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</si>
  <si>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</si>
  <si>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</si>
  <si>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</si>
  <si>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</si>
  <si>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</si>
  <si>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</si>
  <si>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</si>
  <si>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</si>
  <si>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</si>
  <si>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</si>
  <si>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</si>
  <si>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</si>
  <si>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</si>
  <si>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</si>
  <si>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</si>
  <si>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</si>
  <si>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</si>
  <si>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</si>
  <si>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</si>
  <si>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</si>
  <si>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</si>
  <si>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</si>
  <si>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</si>
  <si>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</si>
  <si>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</si>
  <si>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</si>
  <si>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</si>
  <si>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</si>
  <si>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</si>
  <si>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</si>
  <si>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</si>
  <si>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</si>
  <si>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</si>
  <si>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</si>
  <si>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</si>
  <si>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</si>
  <si>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</si>
  <si>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</si>
  <si>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</si>
  <si>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</si>
  <si>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</si>
  <si>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</si>
  <si>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</si>
  <si>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</si>
  <si>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</si>
  <si>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</si>
  <si>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</si>
  <si>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</si>
  <si>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</si>
  <si>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</si>
  <si>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</si>
  <si>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</si>
  <si>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</si>
  <si>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</si>
  <si>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</si>
  <si>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</si>
  <si>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</si>
  <si>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</si>
  <si>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</si>
  <si>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</si>
  <si>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</si>
  <si>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</si>
  <si>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</si>
  <si>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</si>
  <si>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</si>
  <si>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</si>
  <si>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</si>
  <si>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</si>
  <si>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</si>
  <si>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</si>
  <si>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</si>
  <si>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</si>
  <si>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</si>
  <si>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</si>
  <si>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</si>
  <si>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</si>
  <si>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</si>
  <si>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</si>
  <si>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</si>
  <si>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</si>
  <si>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</si>
  <si>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</si>
  <si>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</si>
  <si>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</si>
  <si>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</si>
  <si>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</si>
  <si>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</si>
  <si>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</si>
  <si>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</si>
  <si>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</si>
  <si>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</si>
  <si>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</si>
  <si>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</si>
  <si>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</si>
  <si>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</si>
  <si>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</si>
  <si>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</si>
  <si>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</si>
  <si>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</si>
  <si>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</si>
  <si>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</si>
  <si>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</si>
  <si>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</si>
  <si>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</si>
  <si>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</si>
  <si>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</si>
  <si>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</si>
  <si>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</si>
  <si>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</si>
  <si>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</si>
  <si>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</si>
  <si>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</si>
  <si>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</si>
  <si>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</si>
  <si>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</si>
  <si>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</si>
  <si>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</si>
  <si>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</si>
  <si>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</si>
  <si>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</si>
  <si>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</si>
  <si>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</si>
  <si>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</si>
  <si>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</si>
  <si>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</si>
  <si>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</si>
  <si>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</si>
  <si>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</si>
  <si>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</si>
  <si>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</si>
  <si>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</si>
  <si>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</si>
  <si>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</si>
  <si>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</si>
  <si>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</si>
  <si>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</si>
  <si>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</si>
  <si>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</si>
  <si>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</si>
  <si>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</si>
  <si>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</si>
  <si>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</si>
  <si>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</si>
  <si>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</si>
  <si>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</si>
  <si>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</si>
  <si>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</si>
  <si>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</si>
  <si>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</si>
  <si>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</si>
  <si>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</si>
  <si>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</si>
  <si>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</si>
  <si>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</si>
  <si>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</si>
  <si>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</si>
  <si>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</si>
  <si>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</si>
  <si>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</si>
  <si>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</si>
  <si>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</si>
  <si>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</si>
  <si>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</si>
  <si>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</si>
  <si>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</si>
  <si>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</si>
  <si>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</si>
  <si>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</si>
  <si>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</si>
  <si>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</si>
  <si>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</si>
  <si>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</si>
  <si>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</si>
  <si>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</si>
  <si>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</si>
  <si>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</si>
  <si>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</si>
  <si>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</si>
  <si>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</si>
  <si>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</si>
  <si>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</si>
  <si>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</si>
  <si>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</si>
  <si>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</si>
  <si>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</si>
  <si>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</si>
  <si>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</si>
  <si>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</si>
  <si>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</si>
  <si>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</si>
  <si>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</si>
  <si>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</si>
  <si>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</si>
  <si>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</si>
  <si>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</si>
  <si>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</si>
  <si>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</si>
  <si>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</si>
  <si>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</si>
  <si>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</si>
  <si>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</si>
  <si>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</si>
  <si>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</si>
  <si>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</si>
  <si>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</si>
  <si>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</si>
  <si>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</si>
  <si>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</si>
  <si>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</si>
  <si>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</si>
  <si>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</si>
  <si>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</si>
  <si>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</si>
  <si>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</si>
  <si>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</si>
  <si>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</si>
  <si>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</si>
  <si>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</si>
  <si>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</si>
  <si>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</si>
  <si>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</si>
  <si>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</si>
  <si>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</si>
  <si>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</si>
  <si>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</si>
  <si>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</si>
  <si>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</si>
  <si>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</si>
  <si>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</si>
  <si>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</si>
  <si>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</si>
  <si>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</si>
  <si>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</si>
  <si>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</si>
  <si>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</si>
  <si>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</si>
  <si>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</si>
  <si>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</si>
  <si>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</si>
  <si>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</si>
  <si>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</si>
  <si>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</si>
  <si>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</si>
  <si>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</si>
  <si>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</si>
  <si>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</si>
  <si>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</si>
  <si>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</si>
  <si>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</si>
  <si>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</si>
  <si>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</si>
  <si>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</si>
  <si>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</si>
  <si>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</si>
  <si>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</si>
  <si>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</si>
  <si>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</si>
  <si>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</si>
  <si>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</si>
  <si>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</si>
  <si>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</si>
  <si>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</si>
  <si>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</si>
  <si>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</si>
  <si>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</si>
  <si>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</si>
  <si>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</si>
  <si>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</si>
  <si>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</si>
  <si>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</si>
  <si>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</si>
  <si>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</si>
  <si>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</si>
  <si>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</si>
  <si>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</si>
  <si>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</si>
  <si>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</si>
  <si>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</si>
  <si>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</si>
  <si>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</si>
  <si>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</si>
  <si>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</si>
  <si>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</si>
  <si>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</si>
  <si>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</si>
  <si>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</si>
  <si>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</si>
  <si>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</si>
  <si>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</si>
  <si>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</si>
  <si>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</si>
  <si>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</si>
  <si>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</si>
  <si>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</si>
  <si>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</si>
  <si>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</si>
  <si>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</si>
  <si>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</si>
  <si>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</si>
  <si>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</si>
  <si>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</si>
  <si>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</si>
  <si>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</si>
  <si>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</si>
  <si>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</si>
  <si>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</si>
  <si>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</si>
  <si>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</si>
  <si>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</si>
  <si>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</si>
  <si>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</si>
  <si>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</si>
  <si>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</si>
  <si>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</si>
  <si>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</si>
  <si>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</si>
  <si>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</si>
  <si>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</si>
  <si>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</si>
  <si>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</si>
  <si>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</si>
  <si>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</si>
  <si>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</si>
  <si>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</si>
  <si>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</si>
  <si>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</si>
  <si>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</si>
  <si>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</si>
  <si>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</si>
  <si>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</si>
  <si>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</si>
  <si>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</si>
  <si>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</si>
  <si>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</si>
  <si>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</si>
  <si>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</si>
  <si>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</si>
  <si>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</si>
  <si>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</si>
  <si>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</si>
  <si>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</si>
  <si>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</si>
  <si>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</si>
  <si>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</si>
  <si>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</si>
  <si>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</si>
  <si>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</si>
  <si>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</si>
  <si>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</si>
  <si>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</si>
  <si>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</si>
  <si>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</si>
  <si>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</si>
  <si>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</si>
  <si>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</si>
  <si>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</si>
  <si>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</si>
  <si>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</si>
  <si>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</si>
  <si>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</si>
  <si>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</si>
  <si>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</si>
  <si>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</si>
  <si>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</si>
  <si>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</si>
  <si>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</si>
  <si>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</si>
  <si>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</si>
  <si>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</si>
  <si>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</si>
  <si>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</si>
  <si>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</si>
  <si>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</si>
  <si>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</si>
  <si>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</si>
  <si>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</si>
  <si>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</si>
  <si>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</si>
  <si>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</si>
  <si>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</si>
  <si>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</si>
  <si>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</si>
  <si>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</si>
  <si>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</si>
  <si>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</si>
  <si>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</si>
  <si>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</si>
  <si>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</si>
  <si>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</si>
  <si>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</si>
  <si>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</si>
  <si>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</si>
  <si>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</si>
  <si>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</si>
  <si>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</si>
  <si>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</si>
  <si>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</si>
  <si>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</si>
  <si>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</si>
  <si>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</si>
  <si>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</si>
  <si>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</si>
  <si>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</si>
  <si>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</si>
  <si>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</si>
  <si>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</si>
  <si>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</si>
  <si>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</si>
  <si>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</si>
  <si>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</si>
  <si>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</si>
  <si>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</si>
  <si>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</si>
  <si>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</si>
  <si>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</si>
  <si>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</si>
  <si>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</si>
  <si>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</si>
  <si>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</si>
  <si>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</si>
  <si>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</si>
  <si>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</si>
  <si>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</si>
  <si>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</si>
  <si>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</si>
  <si>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</si>
  <si>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</si>
  <si>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</si>
  <si>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</si>
  <si>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</si>
  <si>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</si>
  <si>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</si>
  <si>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</si>
  <si>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</si>
  <si>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</si>
  <si>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</si>
  <si>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</si>
  <si>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</si>
  <si>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</si>
  <si>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</si>
  <si>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</si>
  <si>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</si>
  <si>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</si>
  <si>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</si>
  <si>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</si>
  <si>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</si>
  <si>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</si>
  <si>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</si>
  <si>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</si>
  <si>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</si>
  <si>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</si>
  <si>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</si>
  <si>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</si>
  <si>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</si>
  <si>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</si>
  <si>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</si>
  <si>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</si>
  <si>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</si>
  <si>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</si>
  <si>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</si>
  <si>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</si>
  <si>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</si>
  <si>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</si>
  <si>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</si>
  <si>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</si>
  <si>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</si>
  <si>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</si>
  <si>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</si>
  <si>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</si>
  <si>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</si>
  <si>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</si>
  <si>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</si>
  <si>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</si>
  <si>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</si>
  <si>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</si>
  <si>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</si>
  <si>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</si>
  <si>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</si>
  <si>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</si>
  <si>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</si>
  <si>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</si>
  <si>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</si>
  <si>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</si>
  <si>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</si>
  <si>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</si>
  <si>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</si>
  <si>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</si>
  <si>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</si>
  <si>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</si>
  <si>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</si>
  <si>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</si>
  <si>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</si>
  <si>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</si>
  <si>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</si>
  <si>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</si>
  <si>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</si>
  <si>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</si>
  <si>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</si>
  <si>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</si>
  <si>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</si>
  <si>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</si>
  <si>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</si>
  <si>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</si>
  <si>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</si>
  <si>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</si>
  <si>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</si>
  <si>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</si>
  <si>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</si>
  <si>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</si>
  <si>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</si>
  <si>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</si>
  <si>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</si>
  <si>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</si>
  <si>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</si>
  <si>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</si>
  <si>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</si>
  <si>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</si>
  <si>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</si>
  <si>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</si>
  <si>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</si>
  <si>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</si>
  <si>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</si>
  <si>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</si>
  <si>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</si>
  <si>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</si>
  <si>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</si>
  <si>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</si>
  <si>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</si>
  <si>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</si>
  <si>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</si>
  <si>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</si>
  <si>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</si>
  <si>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</si>
  <si>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</si>
  <si>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</si>
  <si>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</si>
  <si>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</si>
  <si>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</si>
  <si>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</si>
  <si>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</si>
  <si>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</si>
  <si>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</si>
  <si>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</si>
  <si>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</si>
  <si>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</si>
  <si>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</si>
  <si>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</si>
  <si>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</si>
  <si>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</si>
  <si>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</si>
  <si>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</si>
  <si>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</si>
  <si>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</si>
  <si>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</si>
  <si>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</si>
  <si>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</si>
  <si>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</si>
  <si>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</si>
  <si>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</si>
  <si>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</si>
  <si>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</si>
  <si>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</si>
  <si>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</si>
  <si>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</si>
  <si>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</si>
  <si>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</si>
  <si>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</si>
  <si>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</si>
  <si>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</si>
  <si>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</si>
  <si>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</si>
  <si>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</si>
  <si>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</si>
  <si>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</si>
  <si>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</si>
  <si>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</si>
  <si>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</si>
  <si>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</si>
  <si>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</si>
  <si>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</si>
  <si>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</si>
  <si>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</si>
  <si>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</si>
  <si>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</si>
  <si>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</si>
  <si>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</si>
  <si>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</si>
  <si>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</si>
  <si>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</si>
  <si>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</si>
  <si>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</si>
  <si>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</si>
  <si>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</si>
  <si>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</si>
  <si>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</si>
  <si>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</si>
  <si>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</si>
  <si>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</si>
  <si>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</si>
  <si>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</si>
  <si>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</si>
  <si>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</si>
  <si>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</si>
  <si>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</si>
  <si>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</si>
  <si>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</si>
  <si>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</si>
  <si>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</si>
  <si>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</si>
  <si>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</si>
  <si>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</si>
  <si>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</si>
  <si>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</si>
  <si>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</si>
  <si>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</si>
  <si>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</si>
  <si>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</si>
  <si>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</si>
  <si>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</si>
  <si>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</si>
  <si>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</si>
  <si>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</si>
  <si>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</si>
  <si>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</si>
  <si>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</si>
  <si>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</si>
  <si>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</si>
  <si>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</si>
  <si>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</si>
  <si>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</si>
  <si>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</si>
  <si>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</si>
  <si>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</si>
  <si>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</si>
  <si>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</si>
  <si>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</si>
  <si>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</si>
  <si>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</si>
  <si>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</si>
  <si>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</si>
  <si>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</si>
  <si>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</si>
  <si>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</si>
  <si>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</si>
  <si>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</si>
  <si>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</si>
  <si>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</si>
  <si>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</si>
  <si>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</si>
  <si>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</si>
  <si>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</si>
  <si>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</si>
  <si>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</si>
  <si>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</si>
  <si>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</si>
  <si>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</si>
  <si>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</si>
  <si>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</si>
  <si>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</si>
  <si>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</si>
  <si>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</si>
  <si>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</si>
  <si>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</si>
  <si>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</si>
  <si>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</si>
  <si>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</si>
  <si>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</si>
  <si>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</si>
  <si>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</si>
  <si>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</si>
  <si>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</si>
  <si>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</si>
  <si>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</si>
  <si>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</si>
  <si>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</si>
  <si>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</si>
  <si>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</si>
  <si>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</si>
  <si>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</si>
  <si>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</si>
  <si>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</si>
  <si>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</si>
  <si>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</si>
  <si>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</si>
  <si>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</si>
  <si>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</si>
  <si>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</si>
  <si>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</si>
  <si>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</si>
  <si>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</si>
  <si>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</si>
  <si>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</si>
  <si>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</si>
  <si>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</si>
  <si>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</si>
  <si>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</si>
  <si>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</si>
  <si>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</si>
  <si>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</si>
  <si>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</si>
  <si>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</si>
  <si>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</si>
  <si>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</si>
  <si>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</si>
  <si>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</si>
  <si>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</si>
  <si>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</si>
  <si>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</si>
  <si>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</si>
  <si>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</si>
  <si>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</si>
  <si>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</si>
  <si>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</si>
  <si>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</si>
  <si>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</si>
  <si>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</si>
  <si>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</si>
  <si>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</si>
  <si>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</si>
  <si>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</si>
  <si>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</si>
  <si>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</si>
  <si>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</si>
  <si>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</si>
  <si>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</si>
  <si>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</si>
  <si>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</si>
  <si>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</si>
  <si>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</si>
  <si>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</si>
  <si>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</si>
  <si>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</si>
  <si>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</si>
  <si>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</si>
  <si>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</si>
  <si>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</si>
  <si>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</si>
  <si>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</si>
  <si>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</si>
  <si>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</si>
  <si>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</si>
  <si>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</si>
  <si>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</si>
  <si>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</si>
  <si>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</si>
  <si>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</si>
  <si>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</si>
  <si>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</si>
  <si>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</si>
  <si>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</si>
  <si>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</si>
  <si>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</si>
  <si>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</si>
  <si>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</si>
  <si>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</si>
  <si>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</si>
  <si>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</si>
  <si>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</si>
  <si>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</si>
  <si>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</si>
  <si>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</si>
  <si>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</si>
  <si>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</si>
  <si>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</si>
  <si>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</si>
  <si>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</si>
  <si>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</si>
  <si>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</si>
  <si>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</si>
  <si>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</si>
  <si>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</si>
  <si>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</si>
  <si>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</si>
  <si>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</si>
  <si>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</si>
  <si>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</si>
  <si>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</si>
  <si>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</si>
  <si>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</si>
  <si>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</si>
  <si>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</si>
  <si>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</si>
  <si>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</si>
  <si>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</si>
  <si>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</si>
  <si>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</si>
  <si>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</si>
  <si>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</si>
  <si>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</si>
  <si>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</si>
  <si>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</si>
  <si>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</si>
  <si>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</si>
  <si>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</si>
  <si>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</si>
  <si>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</si>
  <si>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</si>
  <si>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</si>
  <si>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</si>
  <si>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</si>
  <si>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</si>
  <si>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</si>
  <si>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</si>
  <si>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</si>
  <si>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</si>
  <si>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</si>
  <si>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</si>
  <si>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</si>
  <si>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</si>
  <si>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</si>
  <si>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</si>
  <si>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</si>
  <si>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</si>
  <si>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</si>
  <si>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</si>
  <si>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</si>
  <si>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</si>
  <si>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</si>
  <si>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</si>
  <si>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</si>
  <si>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</si>
  <si>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</si>
  <si>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</si>
  <si>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</si>
  <si>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</si>
  <si>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</si>
  <si>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</si>
  <si>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</si>
  <si>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</si>
  <si>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</si>
  <si>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</si>
  <si>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</si>
  <si>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</si>
  <si>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</si>
  <si>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</si>
  <si>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</si>
  <si>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</si>
  <si>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</si>
  <si>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</si>
  <si>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</si>
  <si>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</si>
  <si>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</si>
  <si>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</si>
  <si>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</si>
  <si>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</si>
  <si>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</si>
  <si>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</si>
  <si>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</si>
  <si>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</si>
  <si>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</si>
  <si>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</si>
  <si>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</si>
  <si>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</si>
  <si>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</si>
  <si>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</si>
  <si>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</si>
  <si>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</si>
  <si>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</si>
  <si>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</si>
  <si>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</si>
  <si>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</si>
  <si>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</si>
  <si>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</si>
  <si>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</si>
  <si>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</si>
  <si>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</si>
  <si>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</si>
  <si>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</si>
  <si>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</si>
  <si>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</si>
  <si>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</si>
  <si>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</si>
  <si>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</si>
  <si>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</si>
  <si>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</si>
  <si>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</si>
  <si>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</si>
  <si>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</si>
  <si>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</si>
  <si>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</si>
  <si>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</si>
  <si>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</si>
  <si>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</si>
  <si>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</si>
  <si>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</si>
  <si>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</si>
  <si>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</si>
  <si>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</si>
  <si>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</si>
  <si>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</si>
  <si>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</si>
  <si>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</si>
  <si>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</si>
  <si>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</si>
  <si>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</si>
  <si>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</si>
  <si>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</si>
  <si>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</si>
  <si>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</si>
  <si>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</si>
  <si>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</si>
  <si>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</si>
  <si>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</si>
  <si>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</si>
  <si>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</si>
  <si>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</si>
  <si>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</si>
  <si>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</si>
  <si>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</si>
  <si>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</si>
  <si>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</si>
  <si>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</si>
  <si>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</si>
  <si>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</si>
  <si>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</si>
  <si>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</si>
  <si>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</si>
  <si>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</si>
  <si>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</si>
  <si>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</si>
  <si>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</si>
  <si>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</si>
  <si>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</si>
  <si>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</si>
  <si>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</si>
  <si>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</si>
  <si>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</si>
  <si>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</si>
  <si>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</si>
  <si>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</si>
  <si>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</si>
  <si>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</si>
  <si>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</si>
  <si>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</si>
  <si>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</si>
  <si>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</si>
  <si>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</si>
  <si>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</si>
  <si>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</si>
  <si>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</si>
  <si>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</si>
  <si>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</si>
  <si>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</si>
  <si>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</si>
  <si>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</si>
  <si>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</si>
  <si>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</si>
  <si>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</si>
  <si>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</si>
  <si>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</si>
  <si>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</si>
  <si>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</si>
  <si>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</si>
  <si>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</si>
  <si>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</si>
  <si>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</si>
  <si>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</si>
  <si>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</si>
  <si>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</si>
  <si>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</si>
  <si>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</si>
  <si>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</si>
  <si>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</si>
  <si>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</si>
  <si>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</si>
  <si>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</si>
  <si>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</si>
  <si>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</si>
  <si>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</si>
  <si>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</si>
  <si>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</si>
  <si>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</si>
  <si>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</si>
  <si>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</si>
  <si>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</si>
  <si>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</si>
  <si>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</si>
  <si>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</si>
  <si>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</si>
  <si>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</si>
  <si>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</si>
  <si>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</si>
  <si>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</si>
  <si>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</si>
  <si>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</si>
  <si>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</si>
  <si>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</si>
  <si>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</si>
  <si>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</si>
  <si>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</si>
  <si>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</si>
  <si>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</si>
  <si>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</si>
  <si>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</si>
  <si>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</si>
  <si>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</si>
  <si>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</si>
  <si>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</si>
  <si>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</si>
  <si>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</si>
  <si>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</si>
  <si>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</si>
  <si>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</si>
  <si>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</si>
  <si>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</si>
  <si>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</si>
  <si>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</si>
  <si>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</si>
  <si>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</si>
  <si>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</si>
  <si>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</si>
  <si>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</si>
  <si>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</si>
  <si>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</si>
  <si>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</si>
  <si>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</si>
  <si>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</si>
  <si>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</si>
  <si>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</si>
  <si>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</si>
  <si>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</si>
  <si>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</si>
  <si>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</si>
  <si>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</si>
  <si>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</si>
  <si>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</si>
  <si>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</si>
  <si>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</si>
  <si>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</si>
  <si>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</si>
  <si>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</si>
  <si>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</si>
  <si>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</si>
  <si>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</si>
  <si>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</si>
  <si>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</si>
  <si>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</si>
  <si>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</si>
  <si>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</si>
  <si>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</si>
  <si>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</si>
  <si>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</si>
  <si>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</si>
  <si>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</si>
  <si>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</si>
  <si>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</si>
  <si>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</si>
  <si>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</si>
  <si>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</si>
  <si>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</si>
  <si>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</si>
  <si>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</si>
  <si>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</si>
  <si>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</si>
  <si>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</si>
  <si>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</si>
  <si>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</si>
  <si>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</si>
  <si>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</si>
  <si>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</si>
  <si>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</si>
  <si>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</si>
  <si>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</si>
  <si>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</si>
  <si>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</si>
  <si>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</si>
  <si>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</si>
  <si>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</si>
  <si>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</si>
  <si>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</si>
  <si>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</si>
  <si>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</si>
  <si>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</si>
  <si>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</si>
  <si>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</si>
  <si>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</si>
  <si>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</si>
  <si>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</si>
  <si>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</si>
  <si>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</si>
  <si>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</si>
  <si>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</si>
  <si>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</si>
  <si>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</si>
  <si>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</si>
  <si>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</si>
  <si>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</si>
  <si>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</si>
  <si>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</si>
  <si>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</si>
  <si>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</si>
  <si>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</si>
  <si>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</si>
  <si>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</si>
  <si>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</si>
  <si>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</si>
  <si>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</si>
  <si>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</si>
  <si>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</si>
  <si>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</si>
  <si>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</si>
  <si>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</si>
  <si>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</si>
  <si>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</si>
  <si>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</si>
  <si>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</si>
  <si>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</si>
  <si>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</si>
  <si>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</si>
  <si>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</si>
  <si>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</si>
  <si>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</si>
  <si>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</si>
  <si>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</si>
  <si>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</si>
  <si>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</si>
  <si>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</si>
  <si>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</si>
  <si>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</si>
  <si>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</si>
  <si>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</si>
  <si>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</si>
  <si>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</si>
  <si>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</si>
  <si>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</si>
  <si>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</si>
  <si>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</si>
  <si>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</si>
  <si>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</si>
  <si>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</si>
  <si>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</si>
  <si>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</si>
  <si>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</si>
  <si>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</si>
  <si>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</si>
  <si>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</si>
  <si>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</si>
  <si>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</si>
  <si>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</si>
  <si>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</si>
  <si>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</si>
  <si>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</si>
  <si>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</si>
  <si>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</si>
  <si>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</si>
  <si>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</si>
  <si>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</si>
  <si>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</si>
  <si>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</si>
  <si>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</si>
  <si>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</si>
  <si>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</si>
  <si>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</si>
  <si>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</si>
  <si>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</si>
  <si>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</si>
  <si>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</si>
  <si>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</si>
  <si>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</si>
  <si>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</si>
  <si>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</si>
  <si>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</si>
  <si>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</si>
  <si>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</si>
  <si>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</si>
  <si>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</si>
  <si>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</si>
  <si>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</si>
  <si>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</si>
  <si>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</si>
  <si>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</si>
  <si>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</si>
  <si>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</si>
  <si>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</si>
  <si>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</si>
  <si>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</si>
  <si>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</si>
  <si>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</si>
  <si>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</si>
  <si>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</si>
  <si>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</si>
  <si>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</si>
  <si>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</si>
  <si>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</si>
  <si>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</si>
  <si>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</si>
  <si>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</si>
  <si>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</si>
  <si>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</si>
  <si>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</si>
  <si>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</si>
  <si>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</si>
  <si>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</si>
  <si>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</si>
  <si>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</si>
  <si>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</si>
  <si>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</si>
  <si>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</si>
  <si>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</si>
  <si>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</si>
  <si>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</si>
  <si>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</si>
  <si>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</si>
  <si>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</si>
  <si>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</si>
  <si>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</si>
  <si>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</si>
  <si>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</si>
  <si>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</si>
  <si>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</si>
  <si>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</si>
  <si>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</si>
  <si>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</si>
  <si>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</si>
  <si>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</si>
  <si>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</si>
  <si>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</si>
  <si>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</si>
  <si>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</si>
  <si>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</si>
  <si>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</si>
  <si>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</si>
  <si>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</si>
  <si>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</si>
  <si>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</si>
  <si>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</si>
  <si>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</si>
  <si>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</si>
  <si>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</si>
  <si>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</si>
  <si>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</si>
  <si>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</si>
  <si>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</si>
  <si>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</si>
  <si>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</si>
  <si>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</si>
  <si>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</si>
  <si>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</si>
  <si>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</si>
  <si>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</si>
  <si>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</si>
  <si>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</si>
  <si>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</si>
  <si>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</si>
  <si>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</si>
  <si>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</si>
  <si>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</si>
  <si>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</si>
  <si>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</si>
  <si>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</si>
  <si>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</si>
  <si>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</si>
  <si>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</si>
  <si>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</si>
  <si>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</si>
  <si>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</si>
  <si>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</si>
  <si>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</si>
  <si>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</si>
  <si>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</si>
  <si>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</si>
  <si>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</si>
  <si>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</si>
  <si>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</si>
  <si>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</si>
  <si>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</si>
  <si>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</si>
  <si>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</si>
  <si>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</si>
  <si>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</si>
  <si>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</si>
  <si>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</si>
  <si>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</si>
  <si>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</si>
  <si>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</si>
  <si>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</si>
  <si>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</si>
  <si>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</si>
  <si>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</si>
  <si>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</si>
  <si>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</si>
  <si>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</si>
  <si>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</si>
  <si>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</si>
  <si>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</si>
  <si>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</si>
  <si>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</si>
  <si>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</si>
  <si>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</si>
  <si>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</si>
  <si>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</si>
  <si>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</si>
  <si>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</si>
  <si>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</si>
  <si>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</si>
  <si>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</si>
  <si>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</si>
  <si>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</si>
  <si>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</si>
  <si>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</si>
  <si>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</si>
  <si>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</si>
  <si>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</si>
  <si>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</si>
  <si>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</si>
  <si>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</si>
  <si>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</si>
  <si>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</si>
  <si>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</si>
  <si>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</si>
  <si>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</si>
  <si>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</si>
  <si>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</si>
  <si>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</si>
  <si>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</si>
  <si>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</si>
  <si>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</si>
  <si>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</si>
  <si>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</si>
  <si>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</si>
  <si>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</si>
  <si>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</si>
  <si>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</si>
  <si>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</si>
  <si>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</si>
  <si>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</si>
  <si>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</si>
  <si>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</si>
  <si>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</si>
  <si>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</si>
  <si>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</si>
  <si>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</si>
  <si>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</si>
  <si>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</si>
  <si>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</si>
  <si>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</si>
  <si>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</si>
  <si>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</si>
  <si>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</si>
  <si>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</si>
  <si>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</si>
  <si>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</si>
  <si>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</si>
  <si>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</si>
  <si>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</si>
  <si>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</si>
  <si>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</si>
  <si>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</si>
  <si>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</si>
  <si>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</si>
  <si>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</si>
  <si>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</si>
  <si>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</si>
  <si>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</si>
  <si>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</si>
  <si>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</si>
  <si>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</si>
  <si>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</si>
  <si>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</si>
  <si>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</si>
  <si>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</si>
  <si>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</si>
  <si>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</si>
  <si>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</si>
  <si>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</si>
  <si>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</si>
  <si>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</si>
  <si>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</si>
  <si>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</si>
  <si>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</si>
  <si>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</si>
  <si>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</si>
  <si>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</si>
  <si>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</si>
  <si>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</si>
  <si>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</si>
  <si>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</si>
  <si>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</si>
  <si>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</si>
  <si>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</si>
  <si>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</si>
  <si>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</si>
  <si>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</si>
  <si>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</si>
  <si>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</si>
  <si>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</si>
  <si>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</si>
  <si>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</si>
  <si>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</si>
  <si>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</si>
  <si>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</si>
  <si>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</si>
  <si>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</si>
  <si>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</si>
  <si>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</si>
  <si>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</si>
  <si>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</si>
  <si>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</si>
  <si>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</si>
  <si>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</si>
  <si>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</si>
  <si>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</si>
  <si>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</si>
  <si>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</si>
  <si>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</si>
  <si>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</si>
  <si>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</si>
  <si>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</si>
  <si>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</si>
  <si>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</si>
  <si>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</si>
  <si>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</si>
  <si>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</si>
  <si>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</si>
  <si>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</si>
  <si>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</si>
  <si>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</si>
  <si>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</si>
  <si>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</si>
  <si>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</si>
  <si>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</si>
  <si>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</si>
  <si>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</si>
  <si>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</si>
  <si>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</si>
  <si>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</si>
  <si>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</si>
  <si>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</si>
  <si>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</si>
  <si>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</si>
  <si>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</si>
  <si>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</si>
  <si>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</si>
  <si>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</si>
  <si>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</si>
  <si>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</si>
  <si>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</si>
  <si>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</si>
  <si>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</si>
  <si>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</si>
  <si>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</si>
  <si>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</si>
  <si>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</si>
  <si>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</si>
  <si>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</si>
  <si>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</si>
  <si>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</si>
  <si>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</si>
  <si>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</si>
  <si>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</si>
  <si>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</si>
  <si>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</si>
  <si>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</si>
  <si>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</si>
  <si>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</si>
  <si>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</si>
  <si>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</si>
  <si>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</si>
  <si>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</si>
  <si>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</si>
  <si>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</si>
  <si>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</si>
  <si>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</si>
  <si>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</si>
  <si>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</si>
  <si>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</si>
  <si>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</si>
  <si>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</si>
  <si>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</si>
  <si>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</si>
  <si>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</si>
  <si>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</si>
  <si>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</si>
  <si>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</si>
  <si>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</si>
  <si>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</si>
  <si>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</si>
  <si>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</si>
  <si>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</si>
  <si>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</si>
  <si>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</si>
  <si>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</si>
  <si>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</si>
  <si>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</si>
  <si>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</si>
  <si>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</si>
  <si>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</si>
  <si>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</si>
  <si>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</si>
  <si>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</si>
  <si>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</si>
  <si>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</si>
  <si>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</si>
  <si>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</si>
  <si>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</si>
  <si>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</si>
  <si>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</si>
  <si>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</si>
  <si>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</si>
  <si>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</si>
  <si>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</si>
  <si>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</si>
  <si>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</si>
  <si>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</si>
  <si>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</si>
  <si>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</si>
  <si>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</si>
  <si>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</si>
  <si>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</si>
  <si>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</si>
  <si>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</si>
  <si>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</si>
  <si>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</si>
  <si>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</si>
  <si>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</si>
  <si>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</si>
  <si>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</si>
  <si>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</si>
  <si>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</si>
  <si>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</si>
  <si>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</si>
  <si>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</si>
  <si>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</si>
  <si>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</si>
  <si>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</si>
  <si>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</si>
  <si>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</si>
  <si>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</si>
  <si>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</si>
  <si>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</si>
  <si>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</si>
  <si>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</si>
  <si>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</si>
  <si>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</si>
  <si>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</si>
  <si>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</si>
  <si>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</si>
  <si>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</si>
  <si>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</si>
  <si>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</si>
  <si>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</si>
  <si>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</si>
  <si>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</si>
  <si>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</si>
  <si>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</si>
  <si>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</si>
  <si>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</si>
  <si>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</si>
  <si>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</si>
  <si>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</si>
  <si>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</si>
  <si>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</si>
  <si>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</si>
  <si>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</si>
  <si>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</si>
  <si>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</si>
  <si>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</si>
  <si>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</si>
  <si>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</si>
  <si>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</si>
  <si>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</si>
  <si>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</si>
  <si>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</si>
  <si>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</si>
  <si>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</si>
  <si>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</si>
  <si>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</si>
  <si>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</si>
  <si>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</si>
  <si>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</si>
  <si>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</si>
  <si>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</si>
  <si>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</si>
  <si>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</si>
  <si>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</si>
  <si>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</si>
  <si>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</si>
  <si>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</si>
  <si>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</si>
  <si>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</si>
  <si>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</si>
  <si>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</si>
  <si>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</si>
  <si>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</si>
  <si>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</si>
  <si>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</si>
  <si>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</si>
  <si>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</si>
  <si>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</si>
  <si>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</si>
  <si>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</si>
  <si>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</si>
  <si>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</si>
  <si>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</si>
  <si>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</si>
  <si>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</si>
  <si>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</si>
  <si>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</si>
  <si>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</si>
  <si>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</si>
  <si>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</si>
  <si>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</si>
  <si>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</si>
  <si>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</si>
  <si>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</si>
  <si>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</si>
  <si>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</si>
  <si>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</si>
  <si>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</si>
  <si>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</si>
  <si>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</si>
  <si>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</si>
  <si>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</si>
  <si>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</si>
  <si>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</si>
  <si>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</si>
  <si>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</si>
  <si>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</si>
  <si>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</si>
  <si>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</si>
  <si>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</si>
  <si>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</si>
  <si>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</si>
  <si>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</si>
  <si>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</si>
  <si>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</si>
  <si>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</si>
  <si>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</si>
  <si>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</si>
  <si>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</si>
  <si>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</si>
  <si>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</si>
  <si>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</si>
  <si>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</si>
  <si>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</si>
  <si>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</si>
  <si>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</si>
  <si>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</si>
  <si>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</si>
  <si>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</si>
  <si>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</si>
  <si>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</si>
  <si>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</si>
  <si>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</si>
  <si>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</si>
  <si>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</si>
  <si>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</si>
  <si>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</si>
  <si>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</si>
  <si>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</si>
  <si>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</si>
  <si>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</si>
  <si>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</si>
  <si>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</si>
  <si>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</si>
  <si>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</si>
  <si>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</si>
  <si>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</si>
  <si>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</si>
  <si>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</si>
  <si>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</si>
  <si>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</si>
  <si>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</si>
  <si>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</si>
  <si>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</si>
  <si>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</si>
  <si>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</si>
  <si>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</si>
  <si>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</si>
  <si>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</si>
  <si>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</si>
  <si>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</si>
  <si>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</si>
  <si>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</si>
  <si>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</si>
  <si>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</si>
  <si>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</si>
  <si>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</si>
  <si>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</si>
  <si>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</si>
  <si>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</si>
  <si>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</si>
  <si>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</si>
  <si>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</si>
  <si>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</si>
  <si>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</si>
  <si>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</si>
  <si>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</si>
  <si>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</si>
  <si>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</si>
  <si>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</si>
  <si>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</si>
  <si>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</si>
  <si>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</si>
  <si>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</si>
  <si>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</si>
  <si>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</si>
  <si>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</si>
  <si>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</si>
  <si>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</si>
  <si>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</si>
  <si>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</si>
  <si>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</si>
  <si>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</si>
  <si>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</si>
  <si>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</si>
  <si>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</si>
  <si>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</si>
  <si>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</si>
  <si>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</si>
  <si>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</si>
  <si>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</si>
  <si>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</si>
  <si>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</si>
  <si>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</si>
  <si>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</si>
  <si>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</si>
  <si>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</si>
  <si>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</si>
  <si>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</si>
  <si>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</si>
  <si>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</si>
  <si>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</si>
  <si>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</si>
  <si>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</si>
  <si>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</si>
  <si>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</si>
  <si>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</si>
  <si>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</si>
  <si>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</si>
  <si>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</si>
  <si>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</si>
  <si>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</si>
  <si>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</si>
  <si>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</si>
  <si>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</si>
  <si>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</si>
  <si>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</si>
  <si>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</si>
  <si>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</si>
  <si>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</si>
  <si>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</si>
  <si>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</si>
  <si>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</si>
  <si>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</si>
  <si>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</si>
  <si>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</si>
  <si>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</si>
  <si>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</si>
  <si>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</si>
  <si>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</si>
  <si>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</si>
  <si>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</si>
  <si>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</si>
  <si>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</si>
  <si>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</si>
  <si>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</si>
  <si>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</si>
  <si>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</si>
  <si>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</si>
  <si>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</si>
  <si>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</si>
  <si>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</si>
  <si>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</si>
  <si>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</si>
  <si>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</si>
  <si>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</si>
  <si>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</si>
  <si>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</si>
  <si>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</si>
  <si>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</si>
  <si>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</si>
  <si>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</si>
  <si>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</si>
  <si>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</si>
  <si>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</si>
  <si>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</si>
  <si>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</si>
  <si>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</si>
  <si>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</si>
  <si>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</si>
  <si>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</si>
  <si>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</si>
  <si>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</si>
  <si>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</si>
  <si>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</si>
  <si>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</si>
  <si>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</si>
  <si>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</si>
  <si>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</si>
  <si>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</si>
  <si>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</si>
  <si>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</si>
  <si>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</si>
  <si>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</si>
  <si>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</si>
  <si>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</si>
  <si>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</si>
  <si>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</si>
  <si>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</si>
  <si>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</si>
  <si>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</si>
  <si>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</si>
  <si>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</si>
  <si>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</si>
  <si>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</si>
  <si>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</si>
  <si>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</si>
  <si>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</si>
  <si>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</si>
  <si>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</si>
  <si>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</si>
  <si>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</si>
  <si>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</si>
  <si>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</si>
  <si>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</si>
  <si>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</si>
  <si>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</si>
  <si>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</si>
  <si>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</si>
  <si>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</si>
  <si>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</si>
  <si>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</si>
  <si>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</si>
  <si>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</si>
  <si>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</si>
  <si>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</si>
  <si>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</si>
  <si>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</si>
  <si>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</si>
  <si>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</si>
  <si>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</si>
  <si>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</si>
  <si>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</si>
  <si>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</si>
  <si>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</si>
  <si>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</si>
  <si>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</si>
  <si>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</si>
  <si>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</si>
  <si>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</si>
  <si>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</si>
  <si>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</si>
  <si>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</si>
  <si>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</si>
  <si>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</si>
  <si>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</si>
  <si>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</si>
  <si>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</si>
  <si>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</si>
  <si>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</si>
  <si>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</si>
  <si>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</si>
  <si>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</si>
  <si>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</si>
  <si>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</si>
  <si>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</si>
  <si>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</si>
  <si>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</si>
  <si>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</si>
  <si>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</si>
  <si>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</si>
  <si>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</si>
  <si>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</si>
  <si>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</si>
  <si>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</si>
  <si>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</si>
  <si>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</si>
  <si>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</si>
  <si>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</si>
  <si>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</si>
  <si>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</si>
  <si>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</si>
  <si>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</si>
  <si>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</si>
  <si>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</si>
  <si>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</si>
  <si>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</si>
  <si>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</si>
  <si>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</si>
  <si>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</si>
  <si>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</si>
  <si>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</si>
  <si>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</si>
  <si>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</si>
  <si>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</si>
  <si>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</si>
  <si>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</si>
  <si>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</si>
  <si>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</si>
  <si>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</si>
  <si>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</si>
  <si>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</si>
  <si>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</si>
  <si>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</si>
  <si>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</si>
  <si>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</si>
  <si>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</si>
  <si>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</si>
  <si>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</si>
  <si>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</si>
  <si>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</si>
  <si>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</si>
  <si>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</si>
  <si>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</si>
  <si>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</si>
  <si>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</si>
  <si>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</si>
  <si>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</si>
  <si>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</si>
  <si>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</si>
  <si>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</si>
  <si>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</si>
  <si>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</si>
  <si>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</si>
  <si>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</si>
  <si>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</si>
  <si>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</si>
  <si>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</si>
  <si>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</si>
  <si>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</si>
  <si>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</si>
  <si>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</si>
  <si>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</si>
  <si>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</si>
  <si>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</si>
  <si>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</si>
  <si>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</si>
  <si>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</si>
  <si>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</si>
  <si>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</si>
  <si>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</si>
  <si>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</si>
  <si>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</si>
  <si>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</si>
  <si>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</si>
  <si>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</si>
  <si>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</si>
  <si>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</si>
  <si>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</si>
  <si>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</si>
  <si>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</si>
  <si>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</si>
  <si>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</si>
  <si>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</si>
  <si>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</si>
  <si>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</si>
  <si>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</si>
  <si>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</si>
  <si>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</si>
  <si>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</si>
  <si>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</si>
  <si>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</si>
  <si>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</si>
  <si>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</si>
  <si>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</si>
  <si>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</si>
  <si>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</si>
  <si>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</si>
  <si>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</si>
  <si>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</si>
  <si>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</si>
  <si>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</si>
  <si>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</si>
  <si>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</si>
  <si>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</si>
  <si>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</si>
  <si>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</si>
  <si>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</si>
  <si>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</si>
  <si>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</si>
  <si>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</si>
  <si>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</si>
  <si>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</si>
  <si>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</si>
  <si>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</si>
  <si>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</si>
  <si>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</si>
  <si>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</si>
  <si>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</si>
  <si>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</si>
  <si>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</si>
  <si>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</si>
  <si>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</si>
  <si>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</si>
  <si>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</si>
  <si>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</si>
  <si>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</si>
  <si>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</si>
  <si>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</si>
  <si>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</si>
  <si>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</si>
  <si>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</si>
  <si>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</si>
  <si>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</si>
  <si>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</si>
  <si>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</si>
  <si>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</si>
  <si>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</si>
  <si>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</si>
  <si>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</si>
  <si>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</si>
  <si>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</si>
  <si>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</si>
  <si>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</si>
  <si>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</si>
  <si>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</si>
  <si>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</si>
  <si>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</si>
  <si>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</si>
  <si>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</si>
  <si>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</si>
  <si>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</si>
  <si>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</si>
  <si>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</si>
  <si>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</si>
  <si>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</si>
  <si>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</si>
  <si>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</si>
  <si>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</si>
  <si>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</si>
  <si>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</si>
  <si>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</si>
  <si>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</si>
  <si>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</si>
  <si>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</si>
  <si>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</si>
  <si>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</si>
  <si>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</si>
  <si>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</si>
  <si>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</si>
  <si>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</si>
  <si>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</si>
  <si>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</si>
  <si>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</si>
  <si>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</si>
  <si>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</si>
  <si>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</si>
  <si>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</si>
  <si>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</si>
  <si>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</si>
  <si>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</si>
  <si>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</si>
  <si>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</si>
  <si>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</si>
  <si>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</si>
  <si>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</si>
  <si>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</si>
  <si>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</si>
  <si>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</si>
  <si>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</si>
  <si>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</si>
  <si>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</si>
  <si>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</si>
  <si>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</si>
  <si>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</si>
  <si>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</si>
  <si>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</si>
  <si>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</si>
  <si>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</si>
  <si>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</si>
  <si>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</si>
  <si>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</si>
  <si>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</si>
  <si>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</si>
  <si>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</si>
  <si>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</si>
  <si>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</si>
  <si>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</si>
  <si>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</si>
  <si>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</si>
  <si>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</si>
  <si>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</si>
  <si>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</si>
  <si>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</si>
  <si>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</si>
  <si>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</si>
  <si>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</si>
  <si>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</si>
  <si>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</si>
  <si>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</si>
  <si>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</si>
  <si>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</si>
  <si>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</si>
  <si>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</si>
  <si>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</si>
  <si>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</si>
  <si>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</si>
  <si>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</si>
  <si>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</si>
  <si>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</si>
  <si>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</si>
  <si>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</si>
  <si>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</si>
  <si>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</si>
  <si>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</si>
  <si>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</si>
  <si>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</si>
  <si>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</si>
  <si>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</si>
  <si>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</si>
  <si>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</si>
  <si>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</si>
  <si>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</si>
  <si>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</si>
  <si>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</si>
  <si>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</si>
  <si>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</si>
  <si>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</si>
  <si>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</si>
  <si>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</si>
  <si>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</si>
  <si>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</si>
  <si>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</si>
  <si>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</si>
  <si>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</si>
  <si>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</si>
  <si>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</si>
  <si>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</si>
  <si>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</si>
  <si>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</si>
  <si>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</si>
  <si>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</si>
  <si>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</si>
  <si>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</si>
  <si>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</si>
  <si>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</si>
  <si>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</si>
  <si>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</si>
  <si>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</si>
  <si>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</si>
  <si>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</si>
  <si>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</si>
  <si>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</si>
  <si>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</si>
  <si>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</si>
  <si>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</si>
  <si>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</si>
  <si>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</si>
  <si>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</si>
  <si>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</si>
  <si>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</si>
  <si>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</si>
  <si>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</si>
  <si>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</si>
  <si>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</si>
  <si>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</si>
  <si>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</si>
  <si>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</si>
  <si>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</si>
  <si>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</si>
  <si>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</si>
  <si>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</si>
  <si>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</si>
  <si>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</si>
  <si>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</si>
  <si>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</si>
  <si>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</si>
  <si>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</si>
  <si>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</si>
  <si>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</si>
  <si>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</si>
  <si>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</si>
  <si>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</si>
  <si>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</si>
  <si>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</si>
  <si>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</si>
  <si>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</si>
  <si>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</si>
  <si>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</si>
  <si>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</si>
  <si>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</si>
  <si>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</si>
  <si>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</si>
  <si>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</si>
  <si>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</si>
  <si>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</si>
  <si>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</si>
  <si>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</si>
  <si>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</si>
  <si>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</si>
  <si>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</si>
  <si>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</si>
  <si>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</si>
  <si>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</si>
  <si>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</si>
  <si>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</si>
  <si>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</si>
  <si>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</si>
  <si>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</si>
  <si>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</si>
  <si>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</si>
  <si>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</si>
  <si>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</si>
  <si>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</si>
  <si>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</si>
  <si>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</si>
  <si>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</si>
  <si>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</si>
  <si>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</si>
  <si>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</si>
  <si>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</si>
  <si>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</si>
  <si>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</si>
  <si>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</si>
  <si>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</si>
  <si>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</si>
  <si>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</si>
  <si>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</si>
  <si>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</si>
  <si>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</si>
  <si>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</si>
  <si>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</si>
  <si>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</si>
  <si>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</si>
  <si>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</si>
  <si>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</si>
  <si>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</si>
  <si>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</si>
  <si>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</si>
  <si>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</si>
  <si>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</si>
  <si>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</si>
  <si>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</si>
  <si>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</si>
  <si>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</si>
  <si>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</si>
  <si>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</si>
  <si>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</si>
  <si>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</si>
  <si>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</si>
  <si>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</si>
  <si>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</si>
  <si>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</si>
  <si>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</si>
  <si>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</si>
  <si>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</si>
  <si>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</si>
  <si>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</si>
  <si>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</si>
  <si>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</si>
  <si>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</si>
  <si>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</si>
  <si>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</si>
  <si>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</si>
  <si>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</si>
  <si>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</si>
  <si>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</si>
  <si>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</si>
  <si>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</si>
  <si>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</si>
  <si>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</si>
  <si>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</si>
  <si>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</si>
  <si>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</si>
  <si>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</si>
  <si>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</si>
  <si>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</si>
  <si>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</si>
  <si>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</si>
  <si>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</si>
  <si>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</si>
  <si>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</si>
  <si>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</si>
  <si>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</si>
  <si>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</si>
  <si>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</si>
  <si>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</si>
  <si>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</si>
  <si>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</si>
  <si>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</si>
  <si>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</si>
  <si>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</si>
  <si>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</si>
  <si>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</si>
  <si>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</si>
  <si>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</si>
  <si>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</si>
  <si>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</si>
  <si>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</si>
  <si>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</si>
  <si>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</si>
  <si>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</si>
  <si>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</si>
  <si>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</si>
  <si>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</si>
  <si>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</si>
  <si>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</si>
  <si>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</si>
  <si>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</si>
  <si>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</si>
  <si>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</si>
  <si>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</si>
  <si>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</si>
  <si>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</si>
  <si>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</si>
  <si>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</si>
  <si>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</si>
  <si>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</si>
  <si>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</si>
  <si>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</si>
  <si>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</si>
  <si>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</si>
  <si>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</si>
  <si>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</si>
  <si>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</si>
  <si>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</si>
  <si>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</si>
  <si>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</si>
  <si>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</si>
  <si>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</si>
  <si>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</si>
  <si>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</si>
  <si>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</si>
  <si>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</si>
  <si>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</si>
  <si>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</si>
  <si>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</si>
  <si>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</si>
  <si>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</si>
  <si>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</si>
  <si>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</si>
  <si>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</si>
  <si>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</si>
  <si>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</si>
  <si>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</si>
  <si>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</si>
  <si>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</si>
  <si>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</si>
  <si>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</si>
  <si>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</si>
  <si>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</si>
  <si>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</si>
  <si>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</si>
  <si>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</si>
  <si>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</si>
  <si>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</si>
  <si>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</si>
  <si>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</si>
  <si>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</si>
  <si>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</si>
  <si>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</si>
  <si>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</si>
  <si>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</si>
  <si>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</si>
  <si>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</si>
  <si>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</si>
  <si>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</si>
  <si>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</si>
  <si>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</si>
  <si>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</si>
  <si>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</si>
  <si>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</si>
  <si>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</si>
  <si>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</si>
  <si>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</si>
  <si>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</si>
  <si>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</si>
  <si>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</si>
  <si>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</si>
  <si>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</si>
  <si>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</si>
  <si>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</si>
  <si>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</si>
  <si>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</si>
  <si>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</si>
  <si>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</si>
  <si>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</si>
  <si>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</si>
  <si>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</si>
  <si>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</si>
  <si>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</si>
  <si>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</si>
  <si>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</si>
  <si>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</si>
  <si>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</si>
  <si>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</si>
  <si>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</si>
  <si>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</si>
  <si>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</si>
  <si>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</si>
  <si>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</si>
  <si>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</si>
  <si>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</si>
  <si>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</si>
  <si>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</si>
  <si>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</si>
  <si>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</si>
  <si>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</si>
  <si>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</si>
  <si>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</si>
  <si>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</si>
  <si>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</si>
  <si>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</si>
  <si>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</si>
  <si>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</si>
  <si>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</si>
  <si>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</si>
  <si>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</si>
  <si>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</si>
  <si>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</si>
  <si>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</si>
  <si>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</si>
  <si>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</si>
  <si>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</si>
  <si>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</si>
  <si>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</si>
  <si>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</si>
  <si>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</si>
  <si>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</si>
  <si>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</si>
  <si>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</si>
  <si>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</si>
  <si>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</si>
  <si>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</si>
  <si>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</si>
  <si>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</si>
  <si>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</si>
  <si>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</si>
  <si>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</si>
  <si>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</si>
  <si>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</si>
  <si>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</si>
  <si>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</si>
  <si>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</si>
  <si>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</si>
  <si>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</si>
  <si>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</si>
  <si>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</si>
  <si>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</si>
  <si>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</si>
  <si>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</si>
  <si>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</si>
  <si>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</si>
  <si>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</si>
  <si>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</si>
  <si>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</si>
  <si>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</si>
  <si>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</si>
  <si>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</si>
  <si>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</si>
  <si>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</si>
  <si>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</si>
  <si>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</si>
  <si>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</si>
  <si>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</si>
  <si>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</si>
  <si>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</si>
  <si>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</si>
  <si>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</si>
  <si>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</si>
  <si>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</si>
  <si>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</si>
  <si>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</si>
  <si>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</si>
  <si>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</si>
  <si>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</si>
  <si>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</si>
  <si>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</si>
  <si>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</si>
  <si>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</si>
  <si>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</si>
  <si>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</si>
  <si>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</si>
  <si>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</si>
  <si>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</si>
  <si>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</si>
  <si>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</si>
  <si>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</si>
  <si>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</si>
  <si>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</si>
  <si>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</si>
  <si>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</si>
  <si>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</si>
  <si>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</si>
  <si>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</si>
  <si>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</si>
  <si>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</si>
  <si>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</si>
  <si>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</si>
  <si>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</si>
  <si>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</si>
  <si>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</si>
  <si>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</si>
  <si>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</si>
  <si>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</si>
  <si>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</si>
  <si>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</si>
  <si>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</si>
  <si>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</si>
  <si>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</si>
  <si>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</si>
  <si>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</si>
  <si>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</si>
  <si>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</si>
  <si>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</si>
  <si>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</si>
  <si>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</si>
  <si>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</si>
  <si>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</si>
  <si>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</si>
  <si>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</si>
  <si>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</si>
  <si>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</si>
  <si>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</si>
  <si>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</si>
  <si>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</si>
  <si>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</si>
  <si>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</si>
  <si>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</si>
  <si>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</si>
  <si>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</si>
  <si>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</si>
  <si>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</si>
  <si>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</si>
  <si>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</si>
  <si>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</si>
  <si>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</si>
  <si>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</si>
  <si>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</si>
  <si>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</si>
  <si>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</si>
  <si>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</si>
  <si>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</si>
  <si>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</si>
  <si>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</si>
  <si>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</si>
  <si>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</si>
  <si>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</si>
  <si>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</si>
  <si>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</si>
  <si>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</si>
  <si>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</si>
  <si>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</si>
  <si>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</si>
  <si>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</si>
  <si>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</si>
  <si>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</si>
  <si>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</si>
  <si>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</si>
  <si>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</si>
  <si>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</si>
  <si>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</si>
  <si>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</si>
  <si>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</si>
  <si>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</si>
  <si>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</si>
  <si>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</si>
  <si>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</si>
  <si>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</si>
  <si>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</si>
  <si>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</si>
  <si>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</si>
  <si>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</si>
  <si>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</si>
  <si>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</si>
  <si>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</si>
  <si>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</si>
  <si>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</si>
  <si>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</si>
  <si>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</si>
  <si>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</si>
  <si>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</si>
  <si>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</si>
  <si>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</si>
  <si>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</si>
  <si>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</si>
  <si>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</si>
  <si>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</si>
  <si>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</si>
  <si>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</si>
  <si>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</si>
  <si>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</si>
  <si>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</si>
  <si>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</si>
  <si>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</si>
  <si>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</si>
  <si>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</si>
  <si>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</si>
  <si>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</si>
  <si>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</si>
  <si>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</si>
  <si>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</si>
  <si>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</si>
  <si>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</si>
  <si>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</si>
  <si>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</si>
  <si>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</si>
  <si>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</si>
  <si>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</si>
  <si>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</si>
  <si>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</si>
  <si>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</si>
  <si>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</si>
  <si>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</si>
  <si>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</si>
  <si>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</si>
  <si>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</si>
  <si>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</si>
  <si>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</si>
  <si>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</si>
  <si>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</si>
  <si>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</si>
  <si>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</si>
  <si>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</si>
  <si>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</si>
  <si>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</si>
  <si>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</si>
  <si>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</si>
  <si>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</si>
  <si>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</si>
  <si>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</si>
  <si>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</si>
  <si>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</si>
  <si>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</si>
  <si>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</si>
  <si>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</si>
  <si>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</si>
  <si>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</si>
  <si>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</si>
  <si>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</si>
  <si>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</si>
  <si>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</si>
  <si>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</si>
  <si>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</si>
  <si>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</si>
  <si>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</si>
  <si>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</si>
  <si>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</si>
  <si>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</si>
  <si>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</si>
  <si>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</si>
  <si>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</si>
  <si>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</si>
  <si>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</si>
  <si>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</si>
  <si>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</si>
  <si>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</si>
  <si>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</si>
  <si>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</si>
  <si>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</si>
  <si>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</si>
  <si>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</si>
  <si>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</si>
  <si>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</si>
  <si>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</si>
  <si>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</si>
  <si>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</si>
  <si>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</si>
  <si>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</si>
  <si>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</si>
  <si>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</si>
  <si>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</si>
  <si>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</si>
  <si>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</si>
  <si>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</si>
  <si>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</si>
  <si>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</si>
  <si>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</si>
  <si>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</si>
  <si>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</si>
  <si>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</si>
  <si>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</si>
  <si>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</si>
  <si>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</si>
  <si>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</si>
  <si>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</si>
  <si>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</si>
  <si>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</si>
  <si>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</si>
  <si>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</si>
  <si>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</si>
  <si>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</si>
  <si>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</si>
  <si>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</si>
  <si>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</si>
  <si>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</si>
  <si>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</si>
  <si>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</si>
  <si>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</si>
  <si>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</si>
  <si>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</si>
  <si>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</si>
  <si>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</si>
  <si>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</si>
  <si>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</si>
  <si>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</si>
  <si>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</si>
  <si>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</si>
  <si>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</si>
  <si>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</si>
  <si>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</si>
  <si>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</si>
  <si>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</si>
  <si>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</si>
  <si>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</si>
  <si>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</si>
  <si>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</si>
  <si>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</si>
  <si>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</si>
  <si>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</si>
  <si>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</si>
  <si>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</si>
  <si>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</si>
  <si>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</si>
  <si>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</si>
  <si>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</si>
  <si>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</si>
  <si>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</si>
  <si>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</si>
  <si>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</si>
  <si>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</si>
  <si>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</si>
  <si>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</si>
  <si>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</si>
  <si>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</si>
  <si>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</si>
  <si>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</si>
  <si>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</si>
  <si>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</si>
  <si>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</si>
  <si>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</si>
  <si>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</si>
  <si>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</si>
  <si>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</si>
  <si>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</si>
  <si>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</si>
  <si>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</si>
  <si>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</si>
  <si>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</si>
  <si>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</si>
  <si>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</si>
  <si>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</si>
  <si>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</si>
  <si>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</si>
  <si>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</si>
  <si>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</si>
  <si>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</si>
  <si>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</si>
  <si>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</si>
  <si>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</si>
  <si>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</si>
  <si>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</si>
  <si>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</si>
  <si>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</si>
  <si>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</si>
  <si>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</si>
  <si>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</si>
  <si>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</si>
  <si>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</si>
  <si>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</si>
  <si>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</si>
  <si>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</si>
  <si>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</si>
  <si>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</si>
  <si>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</si>
  <si>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</si>
  <si>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</si>
  <si>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</si>
  <si>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</si>
  <si>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</si>
  <si>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</si>
  <si>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</si>
  <si>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</si>
  <si>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</si>
  <si>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</si>
  <si>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</si>
  <si>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</si>
  <si>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</si>
  <si>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</si>
  <si>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</si>
  <si>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</si>
  <si>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</si>
  <si>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</si>
  <si>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</si>
  <si>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</si>
  <si>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</si>
  <si>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</si>
  <si>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</si>
  <si>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</si>
  <si>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</si>
  <si>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</si>
  <si>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</si>
  <si>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</si>
  <si>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</si>
  <si>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</si>
  <si>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</si>
  <si>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</si>
  <si>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</si>
  <si>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</si>
  <si>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</si>
  <si>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</si>
  <si>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</si>
  <si>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</si>
  <si>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</si>
  <si>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</si>
  <si>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</si>
  <si>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</si>
  <si>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</si>
  <si>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</si>
  <si>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</si>
  <si>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</si>
  <si>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</si>
  <si>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</si>
  <si>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</si>
  <si>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</si>
  <si>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</si>
  <si>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</si>
  <si>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</si>
  <si>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</si>
  <si>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</si>
  <si>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</si>
  <si>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</si>
  <si>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</si>
  <si>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</si>
  <si>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</si>
  <si>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</si>
  <si>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</si>
  <si>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</si>
  <si>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</si>
  <si>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</si>
  <si>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</si>
  <si>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</si>
  <si>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</si>
  <si>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</si>
  <si>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</si>
  <si>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</si>
  <si>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</si>
  <si>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</si>
  <si>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</si>
  <si>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</si>
  <si>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</si>
  <si>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</si>
  <si>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</si>
  <si>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</si>
  <si>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</si>
  <si>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</si>
  <si>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</si>
  <si>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</si>
  <si>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</si>
  <si>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</si>
  <si>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</si>
  <si>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</si>
  <si>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</si>
  <si>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</si>
  <si>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</si>
  <si>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</si>
  <si>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</si>
  <si>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</si>
  <si>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</si>
  <si>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</si>
  <si>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</si>
  <si>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</si>
  <si>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</si>
  <si>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</si>
  <si>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</si>
  <si>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</si>
  <si>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</si>
  <si>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</si>
  <si>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</si>
  <si>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</si>
  <si>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</si>
  <si>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</si>
  <si>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</si>
  <si>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</si>
  <si>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</si>
  <si>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</si>
  <si>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</si>
  <si>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</si>
  <si>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</si>
  <si>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</si>
  <si>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</si>
  <si>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</si>
  <si>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</si>
  <si>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</si>
  <si>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</si>
  <si>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</si>
  <si>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</si>
  <si>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</si>
  <si>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</si>
  <si>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</si>
  <si>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</si>
  <si>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</si>
  <si>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</si>
  <si>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</si>
  <si>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</si>
  <si>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</si>
  <si>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</si>
  <si>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</si>
  <si>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</si>
  <si>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</si>
  <si>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</si>
  <si>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</si>
  <si>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</si>
  <si>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</si>
  <si>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</si>
  <si>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</si>
  <si>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</si>
  <si>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</si>
  <si>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</si>
  <si>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</si>
  <si>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</si>
  <si>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</si>
  <si>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</si>
  <si>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</si>
  <si>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</si>
  <si>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</si>
  <si>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</si>
  <si>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</si>
  <si>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</si>
  <si>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</si>
  <si>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</si>
  <si>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</si>
  <si>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</si>
  <si>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</si>
  <si>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</si>
  <si>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</si>
  <si>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</si>
  <si>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</si>
  <si>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</si>
  <si>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</si>
  <si>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</si>
  <si>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</si>
  <si>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</si>
  <si>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</si>
  <si>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</si>
  <si>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</si>
  <si>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</si>
  <si>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</si>
  <si>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</si>
  <si>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</si>
  <si>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</si>
  <si>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</si>
  <si>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</si>
  <si>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</si>
  <si>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</si>
  <si>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</si>
  <si>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</si>
  <si>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</si>
  <si>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</si>
  <si>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</si>
  <si>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</si>
  <si>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</si>
  <si>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</si>
  <si>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</si>
  <si>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</si>
  <si>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</si>
  <si>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</si>
  <si>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</si>
  <si>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</si>
  <si>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</si>
  <si>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</si>
  <si>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</si>
  <si>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</si>
  <si>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</si>
  <si>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</si>
  <si>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</si>
  <si>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</si>
  <si>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</si>
  <si>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</si>
  <si>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</si>
  <si>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</si>
  <si>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</si>
  <si>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</si>
  <si>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</si>
  <si>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</si>
  <si>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</si>
  <si>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</si>
  <si>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</si>
  <si>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</si>
  <si>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</si>
  <si>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</si>
  <si>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</si>
  <si>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</si>
  <si>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</si>
  <si>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</si>
  <si>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</si>
  <si>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</si>
  <si>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</si>
  <si>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</si>
  <si>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</si>
  <si>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</si>
  <si>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</si>
  <si>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</si>
  <si>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</si>
  <si>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</si>
  <si>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</si>
  <si>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</si>
  <si>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</si>
  <si>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</si>
  <si>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</si>
  <si>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</si>
  <si>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</si>
  <si>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</si>
  <si>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</si>
  <si>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</si>
  <si>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</si>
  <si>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</si>
  <si>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</si>
  <si>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</si>
  <si>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</si>
  <si>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</si>
  <si>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</si>
  <si>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</si>
  <si>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</si>
  <si>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</si>
  <si>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</si>
  <si>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</si>
  <si>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</si>
  <si>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</si>
  <si>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</si>
  <si>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</si>
  <si>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</si>
  <si>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</si>
  <si>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</si>
  <si>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</si>
  <si>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</si>
  <si>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</si>
  <si>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</si>
  <si>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</si>
  <si>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</si>
  <si>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</si>
  <si>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</si>
  <si>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</si>
  <si>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</si>
  <si>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</si>
  <si>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</si>
  <si>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</si>
  <si>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</si>
  <si>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</si>
  <si>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</si>
  <si>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</si>
  <si>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</si>
  <si>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</si>
  <si>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</si>
  <si>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</si>
  <si>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</si>
  <si>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</si>
  <si>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</si>
  <si>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</si>
  <si>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</si>
  <si>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</si>
  <si>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</si>
  <si>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</si>
  <si>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</si>
  <si>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</si>
  <si>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</si>
  <si>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</si>
  <si>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</si>
  <si>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</si>
  <si>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</si>
  <si>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</si>
  <si>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</si>
  <si>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</si>
  <si>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</si>
  <si>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</si>
  <si>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</si>
  <si>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</si>
  <si>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</si>
  <si>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</si>
  <si>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</si>
  <si>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</si>
  <si>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</si>
  <si>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</si>
  <si>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</si>
  <si>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</si>
  <si>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</si>
  <si>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</si>
  <si>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</si>
  <si>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</si>
  <si>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</si>
  <si>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</si>
  <si>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</si>
  <si>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</si>
  <si>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</si>
  <si>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</si>
  <si>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</si>
  <si>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</si>
  <si>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</si>
  <si>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</si>
  <si>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</si>
  <si>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</si>
  <si>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</si>
  <si>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</si>
  <si>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</si>
  <si>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</si>
  <si>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</si>
  <si>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</si>
  <si>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</si>
  <si>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</si>
  <si>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</si>
  <si>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</si>
  <si>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</si>
  <si>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</si>
  <si>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</si>
  <si>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</si>
  <si>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</si>
  <si>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</si>
  <si>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</si>
  <si>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</si>
  <si>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</si>
  <si>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</si>
  <si>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</si>
  <si>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</si>
  <si>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</si>
  <si>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</si>
  <si>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</si>
  <si>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</si>
  <si>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</si>
  <si>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</si>
  <si>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</si>
  <si>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</si>
  <si>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</si>
  <si>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</si>
  <si>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</si>
  <si>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</si>
  <si>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</si>
  <si>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</si>
  <si>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</si>
  <si>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</si>
  <si>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</si>
  <si>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</si>
  <si>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</si>
  <si>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</si>
  <si>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</si>
  <si>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</si>
  <si>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</si>
  <si>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</si>
  <si>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</si>
  <si>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</si>
  <si>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</si>
  <si>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</si>
  <si>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</si>
  <si>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</si>
  <si>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</si>
  <si>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</si>
  <si>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</si>
  <si>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</si>
  <si>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</si>
  <si>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</si>
  <si>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</si>
  <si>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</si>
  <si>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</si>
  <si>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</si>
  <si>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</si>
  <si>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</si>
  <si>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</si>
  <si>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</si>
  <si>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</si>
  <si>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</si>
  <si>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</si>
  <si>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</si>
  <si>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</si>
  <si>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</si>
  <si>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</si>
  <si>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</si>
  <si>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</si>
  <si>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</si>
  <si>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</si>
  <si>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</si>
  <si>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</si>
  <si>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</si>
  <si>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</si>
  <si>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</si>
  <si>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</si>
  <si>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</si>
  <si>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</si>
  <si>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</si>
  <si>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</si>
  <si>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</si>
  <si>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</si>
  <si>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</si>
  <si>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</si>
  <si>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</si>
  <si>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</si>
  <si>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</si>
  <si>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</si>
  <si>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</si>
  <si>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</si>
  <si>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</si>
  <si>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</si>
  <si>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</si>
  <si>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</si>
  <si>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</si>
  <si>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</si>
  <si>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</si>
  <si>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</si>
  <si>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</si>
  <si>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</si>
  <si>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</si>
  <si>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</si>
  <si>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</si>
  <si>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</si>
  <si>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</si>
  <si>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</si>
  <si>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</si>
  <si>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</si>
  <si>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</si>
  <si>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</si>
  <si>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</si>
  <si>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</si>
  <si>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</si>
  <si>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</si>
  <si>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</si>
  <si>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</si>
  <si>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</si>
  <si>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</si>
  <si>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</si>
  <si>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</si>
  <si>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</si>
  <si>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</si>
  <si>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</si>
  <si>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</si>
  <si>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</si>
  <si>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</si>
  <si>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</si>
  <si>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</si>
  <si>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</si>
  <si>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</si>
  <si>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</si>
  <si>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</si>
  <si>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</si>
  <si>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</si>
  <si>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</si>
  <si>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</si>
  <si>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</si>
  <si>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</si>
  <si>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</si>
  <si>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</si>
  <si>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</si>
  <si>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</si>
  <si>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</si>
  <si>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</si>
  <si>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</si>
  <si>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</si>
  <si>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</si>
  <si>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</si>
  <si>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</si>
  <si>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</si>
  <si>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</si>
  <si>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</si>
  <si>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</si>
  <si>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</si>
  <si>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</si>
  <si>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</si>
  <si>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</si>
  <si>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</si>
  <si>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</si>
  <si>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</si>
  <si>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</si>
  <si>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</si>
  <si>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</si>
  <si>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</si>
  <si>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</si>
  <si>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</si>
  <si>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</si>
  <si>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</si>
  <si>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</si>
  <si>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</si>
  <si>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</si>
  <si>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</si>
  <si>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</si>
  <si>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</si>
  <si>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</si>
  <si>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</si>
  <si>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</si>
  <si>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</si>
  <si>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</si>
  <si>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</si>
  <si>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</si>
  <si>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</si>
  <si>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</si>
  <si>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</si>
  <si>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</si>
  <si>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</si>
  <si>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</si>
  <si>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</si>
  <si>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</si>
  <si>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</si>
  <si>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</si>
  <si>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</si>
  <si>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</si>
  <si>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</si>
  <si>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</si>
  <si>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</si>
  <si>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</si>
  <si>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</si>
  <si>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</si>
  <si>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</si>
  <si>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</si>
  <si>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</si>
  <si>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</si>
  <si>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</si>
  <si>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</si>
  <si>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</si>
  <si>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</si>
  <si>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</si>
  <si>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</si>
  <si>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</si>
  <si>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</si>
  <si>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</si>
  <si>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</si>
  <si>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</si>
  <si>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</si>
  <si>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</si>
  <si>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</si>
  <si>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</si>
  <si>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</si>
  <si>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</si>
  <si>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</si>
  <si>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</si>
  <si>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</si>
  <si>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</si>
  <si>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</si>
  <si>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</si>
  <si>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</si>
  <si>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</si>
  <si>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</si>
  <si>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</si>
  <si>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</si>
  <si>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</si>
  <si>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</si>
  <si>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</si>
  <si>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</si>
  <si>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</si>
  <si>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</si>
  <si>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</si>
  <si>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</si>
  <si>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</si>
  <si>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</si>
  <si>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</si>
  <si>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</si>
  <si>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</si>
  <si>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</si>
  <si>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</si>
  <si>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</si>
  <si>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</si>
  <si>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</si>
  <si>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</si>
  <si>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</si>
  <si>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</si>
  <si>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</si>
  <si>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</si>
  <si>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</si>
  <si>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</si>
  <si>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</si>
  <si>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</si>
  <si>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</si>
  <si>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</si>
  <si>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</si>
  <si>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</si>
  <si>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</si>
  <si>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</si>
  <si>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</si>
  <si>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</si>
  <si>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</si>
  <si>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</si>
  <si>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</si>
  <si>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</si>
  <si>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</si>
  <si>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</si>
  <si>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</si>
  <si>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</si>
  <si>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</si>
  <si>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</si>
  <si>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</si>
  <si>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</si>
  <si>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</si>
  <si>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</si>
  <si>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</si>
  <si>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</si>
  <si>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</si>
  <si>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</si>
  <si>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</si>
  <si>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</si>
  <si>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</si>
  <si>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</si>
  <si>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</si>
  <si>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</si>
  <si>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</si>
  <si>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</si>
  <si>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</si>
  <si>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</si>
  <si>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</si>
  <si>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</si>
  <si>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</si>
  <si>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</si>
  <si>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</si>
  <si>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</si>
  <si>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</si>
  <si>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</si>
  <si>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</si>
  <si>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</si>
  <si>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</si>
  <si>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</si>
  <si>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</si>
  <si>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</si>
  <si>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</si>
  <si>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</si>
  <si>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</si>
  <si>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</si>
  <si>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</si>
  <si>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</si>
  <si>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</si>
  <si>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</si>
  <si>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</si>
  <si>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</si>
  <si>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</si>
  <si>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</si>
  <si>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</si>
  <si>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</si>
  <si>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</si>
  <si>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</si>
  <si>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</si>
  <si>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</si>
  <si>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</si>
  <si>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</si>
  <si>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</si>
  <si>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</si>
  <si>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</si>
  <si>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</si>
  <si>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</si>
  <si>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</si>
  <si>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</si>
  <si>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</si>
  <si>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</si>
  <si>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</si>
  <si>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</si>
  <si>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</si>
  <si>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</si>
  <si>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</si>
  <si>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</si>
  <si>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</si>
  <si>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</si>
  <si>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</si>
  <si>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</si>
  <si>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</si>
  <si>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</si>
  <si>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</si>
  <si>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</si>
  <si>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</si>
  <si>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</si>
  <si>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</si>
  <si>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</si>
  <si>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</si>
  <si>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</si>
  <si>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</si>
  <si>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</si>
  <si>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</si>
  <si>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</si>
  <si>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</si>
  <si>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</si>
  <si>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</si>
  <si>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</si>
  <si>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</si>
  <si>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</si>
  <si>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</si>
  <si>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</si>
  <si>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</si>
  <si>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</si>
  <si>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</si>
  <si>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</si>
  <si>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</si>
  <si>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</si>
  <si>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</si>
  <si>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</si>
  <si>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</si>
  <si>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</si>
  <si>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</si>
  <si>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</si>
  <si>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</si>
  <si>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</si>
  <si>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</si>
  <si>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</si>
  <si>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</si>
  <si>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</si>
  <si>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</si>
  <si>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</si>
  <si>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</si>
  <si>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</si>
  <si>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</si>
  <si>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</si>
  <si>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</si>
  <si>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</si>
  <si>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</si>
  <si>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</si>
  <si>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</si>
  <si>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</si>
  <si>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</si>
  <si>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</si>
  <si>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</si>
  <si>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</si>
  <si>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</si>
  <si>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</si>
  <si>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</si>
  <si>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</si>
  <si>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</si>
  <si>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</si>
  <si>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</si>
  <si>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</si>
  <si>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</si>
  <si>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</si>
  <si>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</si>
  <si>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</si>
  <si>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</si>
  <si>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</si>
  <si>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</si>
  <si>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</si>
  <si>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</si>
  <si>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</si>
  <si>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</si>
  <si>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</si>
  <si>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</si>
  <si>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</si>
  <si>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</si>
  <si>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</si>
  <si>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</si>
  <si>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</si>
  <si>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</si>
  <si>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</si>
  <si>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</si>
  <si>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</si>
  <si>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</si>
  <si>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</si>
  <si>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</si>
  <si>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</si>
  <si>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</si>
  <si>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</si>
  <si>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</si>
  <si>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</si>
  <si>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</si>
  <si>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</si>
  <si>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</si>
  <si>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</si>
  <si>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</si>
  <si>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</si>
  <si>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</si>
  <si>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</si>
  <si>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</si>
  <si>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</si>
  <si>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</si>
  <si>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</si>
  <si>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</si>
  <si>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</si>
  <si>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</si>
  <si>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</si>
  <si>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</si>
  <si>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</si>
  <si>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</si>
  <si>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</si>
  <si>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</si>
  <si>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</si>
  <si>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</si>
  <si>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</si>
  <si>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</si>
  <si>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</si>
  <si>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</si>
  <si>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</si>
  <si>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</si>
  <si>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</si>
  <si>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</si>
  <si>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</si>
  <si>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</si>
  <si>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</si>
  <si>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</si>
  <si>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</si>
  <si>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</si>
  <si>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</si>
  <si>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</si>
  <si>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</si>
  <si>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</si>
  <si>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</si>
  <si>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</si>
  <si>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</si>
  <si>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</si>
  <si>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</si>
  <si>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</si>
  <si>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</si>
  <si>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</si>
  <si>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</si>
  <si>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</si>
  <si>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</si>
  <si>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</si>
  <si>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</si>
  <si>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</si>
  <si>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</si>
  <si>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</si>
  <si>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</si>
  <si>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</si>
  <si>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</si>
  <si>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</si>
  <si>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</si>
  <si>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</si>
  <si>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</si>
  <si>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</si>
  <si>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</si>
  <si>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</si>
  <si>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</si>
  <si>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</si>
  <si>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</si>
  <si>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</si>
  <si>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</si>
  <si>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</si>
  <si>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</si>
  <si>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</si>
  <si>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</si>
  <si>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</si>
  <si>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</si>
  <si>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</si>
  <si>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</si>
  <si>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</si>
  <si>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</si>
  <si>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</si>
  <si>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</si>
  <si>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</si>
  <si>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</si>
  <si>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</si>
  <si>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</si>
  <si>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</si>
  <si>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</si>
  <si>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</si>
  <si>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</si>
  <si>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</si>
  <si>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</si>
  <si>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</si>
  <si>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</si>
  <si>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</si>
  <si>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</si>
  <si>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</si>
  <si>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</si>
  <si>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</si>
  <si>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</si>
  <si>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</si>
  <si>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</si>
  <si>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</si>
  <si>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</si>
  <si>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</si>
  <si>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</si>
  <si>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</si>
  <si>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</si>
  <si>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</si>
  <si>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</si>
  <si>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</si>
  <si>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</si>
  <si>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</si>
  <si>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</si>
  <si>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</si>
  <si>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</si>
  <si>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</si>
  <si>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</si>
  <si>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</si>
  <si>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</si>
  <si>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</si>
  <si>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</si>
  <si>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</si>
  <si>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</si>
  <si>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</si>
  <si>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</si>
  <si>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</si>
  <si>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</si>
  <si>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</si>
  <si>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</si>
  <si>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</si>
  <si>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</si>
  <si>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</si>
  <si>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</si>
  <si>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</si>
  <si>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</si>
  <si>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</si>
  <si>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</si>
  <si>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</si>
  <si>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</si>
  <si>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</si>
  <si>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</si>
  <si>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</si>
  <si>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</si>
  <si>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</si>
  <si>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</si>
  <si>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</si>
  <si>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</si>
  <si>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</si>
  <si>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</si>
  <si>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</si>
  <si>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</si>
  <si>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</si>
  <si>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</si>
  <si>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</si>
  <si>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</si>
  <si>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</si>
  <si>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</si>
  <si>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</si>
  <si>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</si>
  <si>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</si>
  <si>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</si>
  <si>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</si>
  <si>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</si>
  <si>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</si>
  <si>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</si>
  <si>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</si>
  <si>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</si>
  <si>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</si>
  <si>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</si>
  <si>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</si>
  <si>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</si>
  <si>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</si>
  <si>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</si>
  <si>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</si>
  <si>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</si>
  <si>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</si>
  <si>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</si>
  <si>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</si>
  <si>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</si>
  <si>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</si>
  <si>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</si>
  <si>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</si>
  <si>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</si>
  <si>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</si>
  <si>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</si>
  <si>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</si>
  <si>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</si>
  <si>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</si>
  <si>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</si>
  <si>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</si>
  <si>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</si>
  <si>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</si>
  <si>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</si>
  <si>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</si>
  <si>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</si>
  <si>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</si>
  <si>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</si>
  <si>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</si>
  <si>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</si>
  <si>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</si>
  <si>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</si>
  <si>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</si>
  <si>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</si>
  <si>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</si>
  <si>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</si>
  <si>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</si>
  <si>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</si>
  <si>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</si>
  <si>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</si>
  <si>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</si>
  <si>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</si>
  <si>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</si>
  <si>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</si>
  <si>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</si>
  <si>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</si>
  <si>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</si>
  <si>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</si>
  <si>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</si>
  <si>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</si>
  <si>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</si>
  <si>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</si>
  <si>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</si>
  <si>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</si>
  <si>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</si>
  <si>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</si>
  <si>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</si>
  <si>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</si>
  <si>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</si>
  <si>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</si>
  <si>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</si>
  <si>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</si>
  <si>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</si>
  <si>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</si>
  <si>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</si>
  <si>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</si>
  <si>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</si>
  <si>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</si>
  <si>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</si>
  <si>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</si>
  <si>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</si>
  <si>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</si>
  <si>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</si>
  <si>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</si>
  <si>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</si>
  <si>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</si>
  <si>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</si>
  <si>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</si>
  <si>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</si>
  <si>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</si>
  <si>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</si>
  <si>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</si>
  <si>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</si>
  <si>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</si>
  <si>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</si>
  <si>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</si>
  <si>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</si>
  <si>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</si>
  <si>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</si>
  <si>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</si>
  <si>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</si>
  <si>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</si>
  <si>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</si>
  <si>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</si>
  <si>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</si>
  <si>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</si>
  <si>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</si>
  <si>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</si>
  <si>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</si>
  <si>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</si>
  <si>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</si>
  <si>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</si>
  <si>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</si>
  <si>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</si>
  <si>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</si>
  <si>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</si>
  <si>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</si>
  <si>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</si>
  <si>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</si>
  <si>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</si>
  <si>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</si>
  <si>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</si>
  <si>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</si>
  <si>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</si>
  <si>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</si>
  <si>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</si>
  <si>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</si>
  <si>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</si>
  <si>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</si>
  <si>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</si>
  <si>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</si>
  <si>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</si>
  <si>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</si>
  <si>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</si>
  <si>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</si>
  <si>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</si>
  <si>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</si>
  <si>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</si>
  <si>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</si>
  <si>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</si>
  <si>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</si>
  <si>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</si>
  <si>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</si>
  <si>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</si>
  <si>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</si>
  <si>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</si>
  <si>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</si>
  <si>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</si>
  <si>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</si>
  <si>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</si>
  <si>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</si>
  <si>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</si>
  <si>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</si>
  <si>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</si>
  <si>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</si>
  <si>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</si>
  <si>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</si>
  <si>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</si>
  <si>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</si>
  <si>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</si>
  <si>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</si>
  <si>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</si>
  <si>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</si>
  <si>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</si>
  <si>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</si>
  <si>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</si>
  <si>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</si>
  <si>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</si>
  <si>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</si>
  <si>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</si>
  <si>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</si>
  <si>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</si>
  <si>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</si>
  <si>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</si>
  <si>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</si>
  <si>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</si>
  <si>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</si>
  <si>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</si>
  <si>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</si>
  <si>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</si>
  <si>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</si>
  <si>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</si>
  <si>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</si>
  <si>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</si>
  <si>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</si>
  <si>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</si>
  <si>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</si>
  <si>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</si>
  <si>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</si>
  <si>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</si>
  <si>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</si>
  <si>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</si>
  <si>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</si>
  <si>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</si>
  <si>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</si>
  <si>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</si>
  <si>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</si>
  <si>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</si>
  <si>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</si>
  <si>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</si>
  <si>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</si>
  <si>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</si>
  <si>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</si>
  <si>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</si>
  <si>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</si>
  <si>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</si>
  <si>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</si>
  <si>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</si>
  <si>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</si>
  <si>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</si>
  <si>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</si>
  <si>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</si>
  <si>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</si>
  <si>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</si>
  <si>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</si>
  <si>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</si>
  <si>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</si>
  <si>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</si>
  <si>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</si>
  <si>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</si>
  <si>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</si>
  <si>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</si>
  <si>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</si>
  <si>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</si>
  <si>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</si>
  <si>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</si>
  <si>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</si>
  <si>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</si>
  <si>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</si>
  <si>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</si>
  <si>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</si>
  <si>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</si>
  <si>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</si>
  <si>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</si>
  <si>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</si>
  <si>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</si>
  <si>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</si>
  <si>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</si>
  <si>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</si>
  <si>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</si>
  <si>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</si>
  <si>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</si>
  <si>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</si>
  <si>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</si>
  <si>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</si>
  <si>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</si>
  <si>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</si>
  <si>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</si>
  <si>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</si>
  <si>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</si>
  <si>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</si>
  <si>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</si>
  <si>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</si>
  <si>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</si>
  <si>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</si>
  <si>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</si>
  <si>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</si>
  <si>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</si>
  <si>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</si>
  <si>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</si>
  <si>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</si>
  <si>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</si>
  <si>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</si>
  <si>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</si>
  <si>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</si>
  <si>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</si>
  <si>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</si>
  <si>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</si>
  <si>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</si>
  <si>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</si>
  <si>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</si>
  <si>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</si>
  <si>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</si>
  <si>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</si>
  <si>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</si>
  <si>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</si>
  <si>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</si>
  <si>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</si>
  <si>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</si>
  <si>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</si>
  <si>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</si>
  <si>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</si>
  <si>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</si>
  <si>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</si>
  <si>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</si>
  <si>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</si>
  <si>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</si>
  <si>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</si>
  <si>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</si>
  <si>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</si>
  <si>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</si>
  <si>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</si>
  <si>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</si>
  <si>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</si>
  <si>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</si>
  <si>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</si>
  <si>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</si>
  <si>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</si>
  <si>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</si>
  <si>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</si>
  <si>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</si>
  <si>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</si>
  <si>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</si>
  <si>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</si>
  <si>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</si>
  <si>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</si>
  <si>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</si>
  <si>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</si>
  <si>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</si>
  <si>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</si>
  <si>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</si>
  <si>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</si>
  <si>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</si>
  <si>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</si>
  <si>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</si>
  <si>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</si>
  <si>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</si>
  <si>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</si>
  <si>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</si>
  <si>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</si>
  <si>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</si>
  <si>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</si>
  <si>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</si>
  <si>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</si>
  <si>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</si>
  <si>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</si>
  <si>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</si>
  <si>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</si>
  <si>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</si>
  <si>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</si>
  <si>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</si>
  <si>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</si>
  <si>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</si>
  <si>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</si>
  <si>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</si>
  <si>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</si>
  <si>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</si>
  <si>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</si>
  <si>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</si>
  <si>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</si>
  <si>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</si>
  <si>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</si>
  <si>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</si>
  <si>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</si>
  <si>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</si>
  <si>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</si>
  <si>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</si>
  <si>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</si>
  <si>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</si>
  <si>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</si>
  <si>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</si>
  <si>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</si>
  <si>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</si>
  <si>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</si>
  <si>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</si>
  <si>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</si>
  <si>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</si>
  <si>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</si>
  <si>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</si>
  <si>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</si>
  <si>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</si>
  <si>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</si>
  <si>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</si>
  <si>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</si>
  <si>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</si>
  <si>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</si>
  <si>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</si>
  <si>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</si>
  <si>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</si>
  <si>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</si>
  <si>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</si>
  <si>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</si>
  <si>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</si>
  <si>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</si>
  <si>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</si>
  <si>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</si>
  <si>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</si>
  <si>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</si>
  <si>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</si>
  <si>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</si>
  <si>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</si>
  <si>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</si>
  <si>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</si>
  <si>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</si>
  <si>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</si>
  <si>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</si>
  <si>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</si>
  <si>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</si>
  <si>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</si>
  <si>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</si>
  <si>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</si>
  <si>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</si>
  <si>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</si>
  <si>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</si>
  <si>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</si>
  <si>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</si>
  <si>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</si>
  <si>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</si>
  <si>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</si>
  <si>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</si>
  <si>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</si>
  <si>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</si>
  <si>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</si>
  <si>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</si>
  <si>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</si>
  <si>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</si>
  <si>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</si>
  <si>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</si>
  <si>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</si>
  <si>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</si>
  <si>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</si>
  <si>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</si>
  <si>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</si>
  <si>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</si>
  <si>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</si>
  <si>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</si>
  <si>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</si>
  <si>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</si>
  <si>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</si>
  <si>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</si>
  <si>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</si>
  <si>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</si>
  <si>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</si>
  <si>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</si>
  <si>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</si>
  <si>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</si>
  <si>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</si>
  <si>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</si>
  <si>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</si>
  <si>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</si>
  <si>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</si>
  <si>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</si>
  <si>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</si>
  <si>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</si>
  <si>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</si>
  <si>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</si>
  <si>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</si>
  <si>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</si>
  <si>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</si>
  <si>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</si>
  <si>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</si>
  <si>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</si>
  <si>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</si>
  <si>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</si>
  <si>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</si>
  <si>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</si>
  <si>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</si>
  <si>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</si>
  <si>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</si>
  <si>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</si>
  <si>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</si>
  <si>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</si>
  <si>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</si>
  <si>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</si>
  <si>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</si>
  <si>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</si>
  <si>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</si>
  <si>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</si>
  <si>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</si>
  <si>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</si>
  <si>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</si>
  <si>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</si>
  <si>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</si>
  <si>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</si>
  <si>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</si>
  <si>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</si>
  <si>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</si>
  <si>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</si>
  <si>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</si>
  <si>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</si>
  <si>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</si>
  <si>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</si>
  <si>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</si>
  <si>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</si>
  <si>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</si>
  <si>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</si>
  <si>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</si>
  <si>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</si>
  <si>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</si>
  <si>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</si>
  <si>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</si>
  <si>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</si>
  <si>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</si>
  <si>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</si>
  <si>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</si>
  <si>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</si>
  <si>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</si>
  <si>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</si>
  <si>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</si>
  <si>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</si>
  <si>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</si>
  <si>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</si>
  <si>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</si>
  <si>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</si>
  <si>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</si>
  <si>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</si>
  <si>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</si>
  <si>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</si>
  <si>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</si>
  <si>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</si>
  <si>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</si>
  <si>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</si>
  <si>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</si>
  <si>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</si>
  <si>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</si>
  <si>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</si>
  <si>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</si>
  <si>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</si>
  <si>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</si>
  <si>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</si>
  <si>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</si>
  <si>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</si>
  <si>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</si>
  <si>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</si>
  <si>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</si>
  <si>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</si>
  <si>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</si>
  <si>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</si>
  <si>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</si>
  <si>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</si>
  <si>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</si>
  <si>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</si>
  <si>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</si>
  <si>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</si>
  <si>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</si>
  <si>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</si>
  <si>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</si>
  <si>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</si>
  <si>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</si>
  <si>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</si>
  <si>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</si>
  <si>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</si>
  <si>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</si>
  <si>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</si>
  <si>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</si>
  <si>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</si>
  <si>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</si>
  <si>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</si>
  <si>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</si>
  <si>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</si>
  <si>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</si>
  <si>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</si>
  <si>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</si>
  <si>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</si>
  <si>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</si>
  <si>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</si>
  <si>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</si>
  <si>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</si>
  <si>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</si>
  <si>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</si>
  <si>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</si>
  <si>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</si>
  <si>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</si>
  <si>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</si>
  <si>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</si>
  <si>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</si>
  <si>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</si>
  <si>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</si>
  <si>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</si>
  <si>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</si>
  <si>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</si>
  <si>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</si>
  <si>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</si>
  <si>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</si>
  <si>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</si>
  <si>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</si>
  <si>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</si>
  <si>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</si>
  <si>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</si>
  <si>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</si>
  <si>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</si>
  <si>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</si>
  <si>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</si>
  <si>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</si>
  <si>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</si>
  <si>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</si>
  <si>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</si>
  <si>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</si>
  <si>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</si>
  <si>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</si>
  <si>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</si>
  <si>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</si>
  <si>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</si>
  <si>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</si>
  <si>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</si>
  <si>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</si>
  <si>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</si>
  <si>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</si>
  <si>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</si>
  <si>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</si>
  <si>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</si>
  <si>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</si>
  <si>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</si>
  <si>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</si>
  <si>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</si>
  <si>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</si>
  <si>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</si>
  <si>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</si>
  <si>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</si>
  <si>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</si>
  <si>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</si>
  <si>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</si>
  <si>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</si>
  <si>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</si>
  <si>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</si>
  <si>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</si>
  <si>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</si>
  <si>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</si>
  <si>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</si>
  <si>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</si>
  <si>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</si>
  <si>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</si>
  <si>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</si>
  <si>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</si>
  <si>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</si>
  <si>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</si>
  <si>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</si>
  <si>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</si>
  <si>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</si>
  <si>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</si>
  <si>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</si>
  <si>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</si>
  <si>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</si>
  <si>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</si>
  <si>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</si>
  <si>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</si>
  <si>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</si>
  <si>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</si>
  <si>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</si>
  <si>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</si>
  <si>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</si>
  <si>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</si>
  <si>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</si>
  <si>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</si>
  <si>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</si>
  <si>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</si>
  <si>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</si>
  <si>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</si>
  <si>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</si>
  <si>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</si>
  <si>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</si>
  <si>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</si>
  <si>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</si>
  <si>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</si>
  <si>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</si>
  <si>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</si>
  <si>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</si>
  <si>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</si>
  <si>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</si>
  <si>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</si>
  <si>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</si>
  <si>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</si>
  <si>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</si>
  <si>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</si>
  <si>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</si>
  <si>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</si>
  <si>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</si>
  <si>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</si>
  <si>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</si>
  <si>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</si>
  <si>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</si>
  <si>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</si>
  <si>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</si>
  <si>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</si>
  <si>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</si>
  <si>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</si>
  <si>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</si>
  <si>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</si>
  <si>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</si>
  <si>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</si>
  <si>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</si>
  <si>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</si>
  <si>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</si>
  <si>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</si>
  <si>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</si>
  <si>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</si>
  <si>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</si>
  <si>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</si>
  <si>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</si>
  <si>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</si>
  <si>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</si>
  <si>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</si>
  <si>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</si>
  <si>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</si>
  <si>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</si>
  <si>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</si>
  <si>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</si>
  <si>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</si>
  <si>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</si>
  <si>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</si>
  <si>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</si>
  <si>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</si>
  <si>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</si>
  <si>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</si>
  <si>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</si>
  <si>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</si>
  <si>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</si>
  <si>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</si>
  <si>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</si>
  <si>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</si>
  <si>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</si>
  <si>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</si>
  <si>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</si>
  <si>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</si>
  <si>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</si>
  <si>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</si>
  <si>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</si>
  <si>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</si>
  <si>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</si>
  <si>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</si>
  <si>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</si>
  <si>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</si>
  <si>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</si>
  <si>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</si>
  <si>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</si>
  <si>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</si>
  <si>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</si>
  <si>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</si>
  <si>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</si>
  <si>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</si>
  <si>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</si>
  <si>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</si>
  <si>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</si>
  <si>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</si>
  <si>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</si>
  <si>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</si>
  <si>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</si>
  <si>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</si>
  <si>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</si>
  <si>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</si>
  <si>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</si>
  <si>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</si>
  <si>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</si>
  <si>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</si>
  <si>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</si>
  <si>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</si>
  <si>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</si>
  <si>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</si>
  <si>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</si>
  <si>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</si>
  <si>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</si>
  <si>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</si>
  <si>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</si>
  <si>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</si>
  <si>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</si>
  <si>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</si>
  <si>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</si>
  <si>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</si>
  <si>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</si>
  <si>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</si>
  <si>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</si>
  <si>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</si>
  <si>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</si>
  <si>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</si>
  <si>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</si>
  <si>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</si>
  <si>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</si>
  <si>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</si>
  <si>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</si>
  <si>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</si>
  <si>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</si>
  <si>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</si>
  <si>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</si>
  <si>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</si>
  <si>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</si>
  <si>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</si>
  <si>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</si>
  <si>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</si>
  <si>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</si>
  <si>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</si>
  <si>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</si>
  <si>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</si>
  <si>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</si>
  <si>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</si>
  <si>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</si>
  <si>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</si>
  <si>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</si>
  <si>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</si>
  <si>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</si>
  <si>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</si>
  <si>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</si>
  <si>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</si>
  <si>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</si>
  <si>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</si>
  <si>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</si>
  <si>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</si>
  <si>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</si>
  <si>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</si>
  <si>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</si>
  <si>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</si>
  <si>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</si>
  <si>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</si>
  <si>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</si>
  <si>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</si>
  <si>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</si>
  <si>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</si>
  <si>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</si>
  <si>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</si>
  <si>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</si>
  <si>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</si>
  <si>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</si>
  <si>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</si>
  <si>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</si>
  <si>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</si>
  <si>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</si>
  <si>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</si>
  <si>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</si>
  <si>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</si>
  <si>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</si>
  <si>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</si>
  <si>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</si>
  <si>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</si>
  <si>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</si>
  <si>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</si>
  <si>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</si>
  <si>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</si>
  <si>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</si>
  <si>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</si>
  <si>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</si>
  <si>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</si>
  <si>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</si>
  <si>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</si>
  <si>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</si>
  <si>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</si>
  <si>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</si>
  <si>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</si>
  <si>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</si>
  <si>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</si>
  <si>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</si>
  <si>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</si>
  <si>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</si>
  <si>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</si>
  <si>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</si>
  <si>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</si>
  <si>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</si>
  <si>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</si>
  <si>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</si>
  <si>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</si>
  <si>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</si>
  <si>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</si>
  <si>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</si>
  <si>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</si>
  <si>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</si>
  <si>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</si>
  <si>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</si>
  <si>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</si>
  <si>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</si>
  <si>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</si>
  <si>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</si>
  <si>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</si>
  <si>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</si>
  <si>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</si>
  <si>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</si>
  <si>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</si>
  <si>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</si>
  <si>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</si>
  <si>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</si>
  <si>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</si>
  <si>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</si>
  <si>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</si>
  <si>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</si>
  <si>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</si>
  <si>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</si>
  <si>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</si>
  <si>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</si>
  <si>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</si>
  <si>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</si>
  <si>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</si>
  <si>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</si>
  <si>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</si>
  <si>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</si>
  <si>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</si>
  <si>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</si>
  <si>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</si>
  <si>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</si>
  <si>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</si>
  <si>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</si>
  <si>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</si>
  <si>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</si>
  <si>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</si>
  <si>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</si>
  <si>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</si>
  <si>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</si>
  <si>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</si>
  <si>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</si>
  <si>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</si>
  <si>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</si>
  <si>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</si>
  <si>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</si>
  <si>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</si>
  <si>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</si>
  <si>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</si>
  <si>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</si>
  <si>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</si>
  <si>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</si>
  <si>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</si>
  <si>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</si>
  <si>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</si>
  <si>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</si>
  <si>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</si>
  <si>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</si>
  <si>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</si>
  <si>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</si>
  <si>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</si>
  <si>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</si>
  <si>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</si>
  <si>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</si>
  <si>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</si>
  <si>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</si>
  <si>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</si>
  <si>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</si>
  <si>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</si>
  <si>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</si>
  <si>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</si>
  <si>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</si>
  <si>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</si>
  <si>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</si>
  <si>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</si>
  <si>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</si>
  <si>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</si>
  <si>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</si>
  <si>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</si>
  <si>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</si>
  <si>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</si>
  <si>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</si>
  <si>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</si>
  <si>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</si>
  <si>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</si>
  <si>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</si>
  <si>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</si>
  <si>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</si>
  <si>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</si>
  <si>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</si>
  <si>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</si>
  <si>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</si>
  <si>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</si>
  <si>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</si>
  <si>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</si>
  <si>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</si>
  <si>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</si>
  <si>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</si>
  <si>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</si>
  <si>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</si>
  <si>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</si>
  <si>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</si>
  <si>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</si>
  <si>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</si>
  <si>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</si>
  <si>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</si>
  <si>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</si>
  <si>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</si>
  <si>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</si>
  <si>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</si>
  <si>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</si>
  <si>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</si>
  <si>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</si>
  <si>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</si>
  <si>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</si>
  <si>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</si>
  <si>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</si>
  <si>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</si>
  <si>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</si>
  <si>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</si>
  <si>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</si>
  <si>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</si>
  <si>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</si>
  <si>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</si>
  <si>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</si>
  <si>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</si>
  <si>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</si>
  <si>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</si>
  <si>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</si>
  <si>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</si>
  <si>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</si>
  <si>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</si>
  <si>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</si>
  <si>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</si>
  <si>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</si>
  <si>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</si>
  <si>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</si>
  <si>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</si>
  <si>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</si>
  <si>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</si>
  <si>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</si>
  <si>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</si>
  <si>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</si>
  <si>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</si>
  <si>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</si>
  <si>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</si>
  <si>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</si>
  <si>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</si>
  <si>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</si>
  <si>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</si>
  <si>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</si>
  <si>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</si>
  <si>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</si>
  <si>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</si>
  <si>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</si>
  <si>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</si>
  <si>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</si>
  <si>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</si>
  <si>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</si>
  <si>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</si>
  <si>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</si>
  <si>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</si>
  <si>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</si>
  <si>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</si>
  <si>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</si>
  <si>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</si>
  <si>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</si>
  <si>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</si>
  <si>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</si>
  <si>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</si>
  <si>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</si>
  <si>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</si>
  <si>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</si>
  <si>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</si>
  <si>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</si>
  <si>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</si>
  <si>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</si>
  <si>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</si>
  <si>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</si>
  <si>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</si>
  <si>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</si>
  <si>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</si>
  <si>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</si>
  <si>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</si>
  <si>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</si>
  <si>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</si>
  <si>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</si>
  <si>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</si>
  <si>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</si>
  <si>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</si>
  <si>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</si>
  <si>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</si>
  <si>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</si>
  <si>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</si>
  <si>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</si>
  <si>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</si>
  <si>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</si>
  <si>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</si>
  <si>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</si>
  <si>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</si>
  <si>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</si>
  <si>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</si>
  <si>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</si>
  <si>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</si>
  <si>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</si>
  <si>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</si>
  <si>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</si>
  <si>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</si>
  <si>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</si>
  <si>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</si>
  <si>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</si>
  <si>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</si>
  <si>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</si>
  <si>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</si>
  <si>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</si>
  <si>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</si>
  <si>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</si>
  <si>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</si>
  <si>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</si>
  <si>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</si>
  <si>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</si>
  <si>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</si>
  <si>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</si>
  <si>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</si>
  <si>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</si>
  <si>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</si>
  <si>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</si>
  <si>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</si>
  <si>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</si>
  <si>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</si>
  <si>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</si>
  <si>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</si>
  <si>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</si>
  <si>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</si>
  <si>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</si>
  <si>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</si>
  <si>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</si>
  <si>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</si>
  <si>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</si>
  <si>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</si>
  <si>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</si>
  <si>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</si>
  <si>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</si>
  <si>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</si>
  <si>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</si>
  <si>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</si>
  <si>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</si>
  <si>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</si>
  <si>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</si>
  <si>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</si>
  <si>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</si>
  <si>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</si>
  <si>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</si>
  <si>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</si>
  <si>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</si>
  <si>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</si>
  <si>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</si>
  <si>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</si>
  <si>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</si>
  <si>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</si>
  <si>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</si>
  <si>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</si>
  <si>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</si>
  <si>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</si>
  <si>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</si>
  <si>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</si>
  <si>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</si>
  <si>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</si>
  <si>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</si>
  <si>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</si>
  <si>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</si>
  <si>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</si>
  <si>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</si>
  <si>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</si>
  <si>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</si>
  <si>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</si>
  <si>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</si>
  <si>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</si>
  <si>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</si>
  <si>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</si>
  <si>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</si>
  <si>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</si>
  <si>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</si>
  <si>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</si>
  <si>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</si>
  <si>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</si>
  <si>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</si>
  <si>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</si>
  <si>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</si>
  <si>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</si>
  <si>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</si>
  <si>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</si>
  <si>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</si>
  <si>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</si>
  <si>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</si>
  <si>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</si>
  <si>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</si>
  <si>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</si>
  <si>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</si>
  <si>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</si>
  <si>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</si>
  <si>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</si>
  <si>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</si>
  <si>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</si>
  <si>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</si>
  <si>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</si>
  <si>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</si>
  <si>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</si>
  <si>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</si>
  <si>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</si>
  <si>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</si>
  <si>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</si>
  <si>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</si>
  <si>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</si>
  <si>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</si>
  <si>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</si>
  <si>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</si>
  <si>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</si>
  <si>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</si>
  <si>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</si>
  <si>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</si>
  <si>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</si>
  <si>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</si>
  <si>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</si>
  <si>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</si>
  <si>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</si>
  <si>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</si>
  <si>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</si>
  <si>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</si>
  <si>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</si>
  <si>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</si>
  <si>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</si>
  <si>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</si>
  <si>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</si>
  <si>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</si>
  <si>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</si>
  <si>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</si>
  <si>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</si>
  <si>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</si>
  <si>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</si>
  <si>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</si>
  <si>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</si>
  <si>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</si>
  <si>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</si>
  <si>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</si>
  <si>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</si>
  <si>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</si>
  <si>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</si>
  <si>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</si>
  <si>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</si>
  <si>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</si>
  <si>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</si>
  <si>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</si>
  <si>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</si>
  <si>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</si>
  <si>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</si>
  <si>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</si>
  <si>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</si>
  <si>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</si>
  <si>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</si>
  <si>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</si>
  <si>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</si>
  <si>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</si>
  <si>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</si>
  <si>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</si>
  <si>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</si>
  <si>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</si>
  <si>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</si>
  <si>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</si>
  <si>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</si>
  <si>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</si>
  <si>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</si>
  <si>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</si>
  <si>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</si>
  <si>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</si>
  <si>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</si>
  <si>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</si>
  <si>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</si>
  <si>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</si>
  <si>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</si>
  <si>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</si>
  <si>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</si>
  <si>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</si>
  <si>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</si>
  <si>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</si>
  <si>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</si>
  <si>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</si>
  <si>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</si>
  <si>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</si>
  <si>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</si>
  <si>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</si>
  <si>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</si>
  <si>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</si>
  <si>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</si>
  <si>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</si>
  <si>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</si>
  <si>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</si>
  <si>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</si>
  <si>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</si>
  <si>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</si>
  <si>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</si>
  <si>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</si>
  <si>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</si>
  <si>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</si>
  <si>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</si>
  <si>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</si>
  <si>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</si>
  <si>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</si>
  <si>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</si>
  <si>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</si>
  <si>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</si>
  <si>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</si>
  <si>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</si>
  <si>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</si>
  <si>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</si>
  <si>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</si>
  <si>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</si>
  <si>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</si>
  <si>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</si>
  <si>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</si>
  <si>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</si>
  <si>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</si>
  <si>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</si>
  <si>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</si>
  <si>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</si>
  <si>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</si>
  <si>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</si>
  <si>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</si>
  <si>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</si>
  <si>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</si>
  <si>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</si>
  <si>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</si>
  <si>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</si>
  <si>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</si>
  <si>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</si>
  <si>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</si>
  <si>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</si>
  <si>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</si>
  <si>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</si>
  <si>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</si>
  <si>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</si>
  <si>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</si>
  <si>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</si>
  <si>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</si>
  <si>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</si>
  <si>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</si>
  <si>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</si>
  <si>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</si>
  <si>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</si>
  <si>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</si>
  <si>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</si>
  <si>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</si>
  <si>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</si>
  <si>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</si>
  <si>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</si>
  <si>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</si>
  <si>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</si>
  <si>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</si>
  <si>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</si>
  <si>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</si>
  <si>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</si>
  <si>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</si>
  <si>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</si>
  <si>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</si>
  <si>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</si>
  <si>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</si>
  <si>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</si>
  <si>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</si>
  <si>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</si>
  <si>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</si>
  <si>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</si>
  <si>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</si>
  <si>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</si>
  <si>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</si>
  <si>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</si>
  <si>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</si>
  <si>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</si>
  <si>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</si>
  <si>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</si>
  <si>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</si>
  <si>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</si>
  <si>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</si>
  <si>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</si>
  <si>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</si>
  <si>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</si>
  <si>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</si>
  <si>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</si>
  <si>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</si>
  <si>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</si>
  <si>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</si>
  <si>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</si>
  <si>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</si>
  <si>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</si>
  <si>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</si>
  <si>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</si>
  <si>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</si>
  <si>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</si>
  <si>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</si>
  <si>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</si>
  <si>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</si>
  <si>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</si>
  <si>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</si>
  <si>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</si>
  <si>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</si>
  <si>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</si>
  <si>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</si>
  <si>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</si>
  <si>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</si>
  <si>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</si>
  <si>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</si>
  <si>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</si>
  <si>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</si>
  <si>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</si>
  <si>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</si>
  <si>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</si>
  <si>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</si>
  <si>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</si>
  <si>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</si>
  <si>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</si>
  <si>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</si>
  <si>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</si>
  <si>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</si>
  <si>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</si>
  <si>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</si>
  <si>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</si>
  <si>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</si>
  <si>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</si>
  <si>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</si>
  <si>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</si>
  <si>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</si>
  <si>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</si>
  <si>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</si>
  <si>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</si>
  <si>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</si>
  <si>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</si>
  <si>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</si>
  <si>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</si>
  <si>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</si>
  <si>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</si>
  <si>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</si>
  <si>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</si>
  <si>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</si>
  <si>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</si>
  <si>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</si>
  <si>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</si>
  <si>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</si>
  <si>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</si>
  <si>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</si>
  <si>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</si>
  <si>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</si>
  <si>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</si>
  <si>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</si>
  <si>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</si>
  <si>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</si>
  <si>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</si>
  <si>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</si>
  <si>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</si>
  <si>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</si>
  <si>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</si>
  <si>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</si>
  <si>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</si>
  <si>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</si>
  <si>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</si>
  <si>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</si>
  <si>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</si>
  <si>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</si>
  <si>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</si>
  <si>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</si>
  <si>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</si>
  <si>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</si>
  <si>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</si>
  <si>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</si>
  <si>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</si>
  <si>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</si>
  <si>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</si>
  <si>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</si>
  <si>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</si>
  <si>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</si>
  <si>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</si>
  <si>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</si>
  <si>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</si>
  <si>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</si>
  <si>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</si>
  <si>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</si>
  <si>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</si>
  <si>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</si>
  <si>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</si>
  <si>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</si>
  <si>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</si>
  <si>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</si>
  <si>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</si>
  <si>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</si>
  <si>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</si>
  <si>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</si>
  <si>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</si>
  <si>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</si>
  <si>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</si>
  <si>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</si>
  <si>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</si>
  <si>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</si>
  <si>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</si>
  <si>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</si>
  <si>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</si>
  <si>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</si>
  <si>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</si>
  <si>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</si>
  <si>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</si>
  <si>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</si>
  <si>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</si>
  <si>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</si>
  <si>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</si>
  <si>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</si>
  <si>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</si>
  <si>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</si>
  <si>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</si>
  <si>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</si>
  <si>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</si>
  <si>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</si>
  <si>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</si>
  <si>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</si>
  <si>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</si>
  <si>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</si>
  <si>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</si>
  <si>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</si>
  <si>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</si>
  <si>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</si>
  <si>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</si>
  <si>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</si>
  <si>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</si>
  <si>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</si>
  <si>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</si>
  <si>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</si>
  <si>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</si>
  <si>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</si>
  <si>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</si>
  <si>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</si>
  <si>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</si>
  <si>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</si>
  <si>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</si>
  <si>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</si>
  <si>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</si>
  <si>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</si>
  <si>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</si>
  <si>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</si>
  <si>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</si>
  <si>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</si>
  <si>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</si>
  <si>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</si>
  <si>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</si>
  <si>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</si>
  <si>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</si>
  <si>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</si>
  <si>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</si>
  <si>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</si>
  <si>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</si>
  <si>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</si>
  <si>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</si>
  <si>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</si>
  <si>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</si>
  <si>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</si>
  <si>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</si>
  <si>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</si>
  <si>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</si>
  <si>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</si>
  <si>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</si>
  <si>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</si>
  <si>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</si>
  <si>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</si>
  <si>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</si>
  <si>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</si>
  <si>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</si>
  <si>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</si>
  <si>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</si>
  <si>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</si>
  <si>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</si>
  <si>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</si>
  <si>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</si>
  <si>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</si>
  <si>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</si>
  <si>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</si>
  <si>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</si>
  <si>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</si>
  <si>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</si>
  <si>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</si>
  <si>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</si>
  <si>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</si>
  <si>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</si>
  <si>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</si>
  <si>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</si>
  <si>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</si>
  <si>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</si>
  <si>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</si>
  <si>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</si>
  <si>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</si>
  <si>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</si>
  <si>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</si>
  <si>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</si>
  <si>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</si>
  <si>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</si>
  <si>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</si>
  <si>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</si>
  <si>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</si>
  <si>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</si>
  <si>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</si>
  <si>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</si>
  <si>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</si>
  <si>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</si>
  <si>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</si>
  <si>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</si>
  <si>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</si>
  <si>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</si>
  <si>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</si>
  <si>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</si>
  <si>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</si>
  <si>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</si>
  <si>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</si>
  <si>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</si>
  <si>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</si>
  <si>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</si>
  <si>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</si>
  <si>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</si>
  <si>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</si>
  <si>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</si>
  <si>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</si>
  <si>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</si>
  <si>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</si>
  <si>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</si>
  <si>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</si>
  <si>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</si>
  <si>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</si>
  <si>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</si>
  <si>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</si>
  <si>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</si>
  <si>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</si>
  <si>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</si>
  <si>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</si>
  <si>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</si>
  <si>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</si>
  <si>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</si>
  <si>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</si>
  <si>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</si>
  <si>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</si>
  <si>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</si>
  <si>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</si>
  <si>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</si>
  <si>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</si>
  <si>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</si>
  <si>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</si>
  <si>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</si>
  <si>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</si>
  <si>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</si>
  <si>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</si>
  <si>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</si>
  <si>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</si>
  <si>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</si>
  <si>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</si>
  <si>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</si>
  <si>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</si>
  <si>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</si>
  <si>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</si>
  <si>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</si>
  <si>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</si>
  <si>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</si>
  <si>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</si>
  <si>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</si>
  <si>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</si>
  <si>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</si>
  <si>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</si>
  <si>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</si>
  <si>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</si>
  <si>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</si>
  <si>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</si>
  <si>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</si>
  <si>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</si>
  <si>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</si>
  <si>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</si>
  <si>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</si>
  <si>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</si>
  <si>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</si>
  <si>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</si>
  <si>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</si>
  <si>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</si>
  <si>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</si>
  <si>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</si>
  <si>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</si>
  <si>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</si>
  <si>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</si>
  <si>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</si>
  <si>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</si>
  <si>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</si>
  <si>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</si>
  <si>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</si>
  <si>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</si>
  <si>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</si>
  <si>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</si>
  <si>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</si>
  <si>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</si>
  <si>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</si>
  <si>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</si>
  <si>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</si>
  <si>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</si>
  <si>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</si>
  <si>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</si>
  <si>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</si>
  <si>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</si>
  <si>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</si>
  <si>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</si>
  <si>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</si>
  <si>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</si>
  <si>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</si>
  <si>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</si>
  <si>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</si>
  <si>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</si>
  <si>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</si>
  <si>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</si>
  <si>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</si>
  <si>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</si>
  <si>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</si>
  <si>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</si>
  <si>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</si>
  <si>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</si>
  <si>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</si>
  <si>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</si>
  <si>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</si>
  <si>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</si>
  <si>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</si>
  <si>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</si>
  <si>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</si>
  <si>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</si>
  <si>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</si>
  <si>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</si>
  <si>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</si>
  <si>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</si>
  <si>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</si>
  <si>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</si>
  <si>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</si>
  <si>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</si>
  <si>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</si>
  <si>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</si>
  <si>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</si>
  <si>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</si>
  <si>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</si>
  <si>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</si>
  <si>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</si>
  <si>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</si>
  <si>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</si>
  <si>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</si>
  <si>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</si>
  <si>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</si>
  <si>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</si>
  <si>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</si>
  <si>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</si>
  <si>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</si>
  <si>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</si>
  <si>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</si>
  <si>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</si>
  <si>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</si>
  <si>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</si>
  <si>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</si>
  <si>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</si>
  <si>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</si>
  <si>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</si>
  <si>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</si>
  <si>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</si>
  <si>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</si>
  <si>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</si>
  <si>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</si>
  <si>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</si>
  <si>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</si>
  <si>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</si>
  <si>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</si>
  <si>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</si>
  <si>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</si>
  <si>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</si>
  <si>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</si>
  <si>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</si>
  <si>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</si>
  <si>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</si>
  <si>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</si>
  <si>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</si>
  <si>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</si>
  <si>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</si>
  <si>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</si>
  <si>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</si>
  <si>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</si>
  <si>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</si>
  <si>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</si>
  <si>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</si>
  <si>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</si>
  <si>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</si>
  <si>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</si>
  <si>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</si>
  <si>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</si>
  <si>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</si>
  <si>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</si>
  <si>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</si>
  <si>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</si>
  <si>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</si>
  <si>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</si>
  <si>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</si>
  <si>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</si>
  <si>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</si>
  <si>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</si>
  <si>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</si>
  <si>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</si>
  <si>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</si>
  <si>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</si>
  <si>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</si>
  <si>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</si>
  <si>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</si>
  <si>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</si>
  <si>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</si>
  <si>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</si>
  <si>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</si>
  <si>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</si>
  <si>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</si>
  <si>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</si>
  <si>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</si>
  <si>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</si>
  <si>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</si>
  <si>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</si>
  <si>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</si>
  <si>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</si>
  <si>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</si>
  <si>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</si>
  <si>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</si>
  <si>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</si>
  <si>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</si>
  <si>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</si>
  <si>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</si>
  <si>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</si>
  <si>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</si>
  <si>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</si>
  <si>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</si>
  <si>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</si>
  <si>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</si>
  <si>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</si>
  <si>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</si>
  <si>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</si>
  <si>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</si>
  <si>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</si>
  <si>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</si>
  <si>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</si>
  <si>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</si>
  <si>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</si>
  <si>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</si>
  <si>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</si>
  <si>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</si>
  <si>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</si>
  <si>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</si>
  <si>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</si>
  <si>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</si>
  <si>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</si>
  <si>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</si>
  <si>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</si>
  <si>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</si>
  <si>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</si>
  <si>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</si>
  <si>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</si>
  <si>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</si>
  <si>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</si>
  <si>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</si>
  <si>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</si>
  <si>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</si>
  <si>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</si>
  <si>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</si>
  <si>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</si>
  <si>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</si>
  <si>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</si>
  <si>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</si>
  <si>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</si>
  <si>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</si>
  <si>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</si>
  <si>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</si>
  <si>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</si>
  <si>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</si>
  <si>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</si>
  <si>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</si>
  <si>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</si>
  <si>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</si>
  <si>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</si>
  <si>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</si>
  <si>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</si>
  <si>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</si>
  <si>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</si>
  <si>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</si>
  <si>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</si>
  <si>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</si>
  <si>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</si>
  <si>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</si>
  <si>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</si>
  <si>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</si>
  <si>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</si>
  <si>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</si>
  <si>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</si>
  <si>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</si>
  <si>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</si>
  <si>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</si>
  <si>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</si>
  <si>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</si>
  <si>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</si>
  <si>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</si>
  <si>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</si>
  <si>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</si>
  <si>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</si>
  <si>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</si>
  <si>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</si>
  <si>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</si>
  <si>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</si>
  <si>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</si>
  <si>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</si>
  <si>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</si>
  <si>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</si>
  <si>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</si>
  <si>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</si>
  <si>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</si>
  <si>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</si>
  <si>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</si>
  <si>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</si>
  <si>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</si>
  <si>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</si>
  <si>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</si>
  <si>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</si>
  <si>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</si>
  <si>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</si>
  <si>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</si>
  <si>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</si>
  <si>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</si>
  <si>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</si>
  <si>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</si>
  <si>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</si>
  <si>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</si>
  <si>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</si>
  <si>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</si>
  <si>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</si>
  <si>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</si>
  <si>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</si>
  <si>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</si>
  <si>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</si>
  <si>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</si>
  <si>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</si>
  <si>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</si>
  <si>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</si>
  <si>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</si>
  <si>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</si>
  <si>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</si>
  <si>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</si>
  <si>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</si>
  <si>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</si>
  <si>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</si>
  <si>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</si>
  <si>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</si>
  <si>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</si>
  <si>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</si>
  <si>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</si>
  <si>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</si>
  <si>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</si>
  <si>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</si>
  <si>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</si>
  <si>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</si>
  <si>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</si>
  <si>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</si>
  <si>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</si>
  <si>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</si>
  <si>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</si>
  <si>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</si>
  <si>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</si>
  <si>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</si>
  <si>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</si>
  <si>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</si>
  <si>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</si>
  <si>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</si>
  <si>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</si>
  <si>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</si>
  <si>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</si>
  <si>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</si>
  <si>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</si>
  <si>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</si>
  <si>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</si>
  <si>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</si>
  <si>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</si>
  <si>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</si>
  <si>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</si>
  <si>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</si>
  <si>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</si>
  <si>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</si>
  <si>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</si>
  <si>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</si>
  <si>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</si>
  <si>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</si>
  <si>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</si>
  <si>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</si>
  <si>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</si>
  <si>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</si>
  <si>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</si>
  <si>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</si>
  <si>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</si>
  <si>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</si>
  <si>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</si>
  <si>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</si>
  <si>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</si>
  <si>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</si>
  <si>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</si>
  <si>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</si>
  <si>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</si>
  <si>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</si>
  <si>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</si>
  <si>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</si>
  <si>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</si>
  <si>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</si>
  <si>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</si>
  <si>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</si>
  <si>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</si>
  <si>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</si>
  <si>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</si>
  <si>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</si>
  <si>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</si>
  <si>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</si>
  <si>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</si>
  <si>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</si>
  <si>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</si>
  <si>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</si>
  <si>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</si>
  <si>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</si>
  <si>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</si>
  <si>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</si>
  <si>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</si>
  <si>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</si>
  <si>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</si>
  <si>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</si>
  <si>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</si>
  <si>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</si>
  <si>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</si>
  <si>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</si>
  <si>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</si>
  <si>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</si>
  <si>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</si>
  <si>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</si>
  <si>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</si>
  <si>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</si>
  <si>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</si>
  <si>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</si>
  <si>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</si>
  <si>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</si>
  <si>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</si>
  <si>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</si>
  <si>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</si>
  <si>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</si>
  <si>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</si>
  <si>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</si>
  <si>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</si>
  <si>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</si>
  <si>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</si>
  <si>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</si>
  <si>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</si>
  <si>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</si>
  <si>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</si>
  <si>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</si>
  <si>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</si>
  <si>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</si>
  <si>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</si>
  <si>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</si>
  <si>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</si>
  <si>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</si>
  <si>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</si>
  <si>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</si>
  <si>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</si>
  <si>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</si>
  <si>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</si>
  <si>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</si>
  <si>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</si>
  <si>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</si>
  <si>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</si>
  <si>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</si>
  <si>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</si>
  <si>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</si>
  <si>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</si>
  <si>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</si>
  <si>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</si>
  <si>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</si>
  <si>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</si>
  <si>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</si>
  <si>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</si>
  <si>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</si>
  <si>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</si>
  <si>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</si>
  <si>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</si>
  <si>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</si>
  <si>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</si>
  <si>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</si>
  <si>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</si>
  <si>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</si>
  <si>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</si>
  <si>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</si>
  <si>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</si>
  <si>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</si>
  <si>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</si>
  <si>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</si>
  <si>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</si>
  <si>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</si>
  <si>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</si>
  <si>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</si>
  <si>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</si>
  <si>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</si>
  <si>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</si>
  <si>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</si>
  <si>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</si>
  <si>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</si>
  <si>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</si>
  <si>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</si>
  <si>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</si>
  <si>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</si>
  <si>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</si>
  <si>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</si>
  <si>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</si>
  <si>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</si>
  <si>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</si>
  <si>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</si>
  <si>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</si>
  <si>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</si>
  <si>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</si>
  <si>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</si>
  <si>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</si>
  <si>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</si>
  <si>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</si>
  <si>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</si>
  <si>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</si>
  <si>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</si>
  <si>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</si>
  <si>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</si>
  <si>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</si>
  <si>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</si>
  <si>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</si>
  <si>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</si>
  <si>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</si>
  <si>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</si>
  <si>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</si>
  <si>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</si>
  <si>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</si>
  <si>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</si>
  <si>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</si>
  <si>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</si>
  <si>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</si>
  <si>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</si>
  <si>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</si>
  <si>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</si>
  <si>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</si>
  <si>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</si>
  <si>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</si>
  <si>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</si>
  <si>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</si>
  <si>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</si>
  <si>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</si>
  <si>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</si>
  <si>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</si>
  <si>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</si>
  <si>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</si>
  <si>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</si>
  <si>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</si>
  <si>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</si>
  <si>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</si>
  <si>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</si>
  <si>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</si>
  <si>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</si>
  <si>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</si>
  <si>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</si>
  <si>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</si>
  <si>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</si>
  <si>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</si>
  <si>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</si>
  <si>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</si>
  <si>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</si>
  <si>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</si>
  <si>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</si>
  <si>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</si>
  <si>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</si>
  <si>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</si>
  <si>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</si>
  <si>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</si>
  <si>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</si>
  <si>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</si>
  <si>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</si>
  <si>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</si>
  <si>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</si>
  <si>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</si>
  <si>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</si>
  <si>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</si>
  <si>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</si>
  <si>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</si>
  <si>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</si>
  <si>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</si>
  <si>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</si>
  <si>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</si>
  <si>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</si>
  <si>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</si>
  <si>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</si>
  <si>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</si>
  <si>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</si>
  <si>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</si>
  <si>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</si>
  <si>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</si>
  <si>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</si>
  <si>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</si>
  <si>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</si>
  <si>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</si>
  <si>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</si>
  <si>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</si>
  <si>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</si>
  <si>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</si>
  <si>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</si>
  <si>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</si>
  <si>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</si>
  <si>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</si>
  <si>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</si>
  <si>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</si>
  <si>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</si>
  <si>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</si>
  <si>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</si>
  <si>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</si>
  <si>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</si>
  <si>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</si>
  <si>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</si>
  <si>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</si>
  <si>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</si>
  <si>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</si>
  <si>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</si>
  <si>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</si>
  <si>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</si>
  <si>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</si>
  <si>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</si>
  <si>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</si>
  <si>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</si>
  <si>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</si>
  <si>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</si>
  <si>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</si>
  <si>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</si>
  <si>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</si>
  <si>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</si>
  <si>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</si>
  <si>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</si>
  <si>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</si>
  <si>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</si>
  <si>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</si>
  <si>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</si>
  <si>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</si>
  <si>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</si>
  <si>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</si>
  <si>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</si>
  <si>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</si>
  <si>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</si>
  <si>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</si>
  <si>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</si>
  <si>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</si>
  <si>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</si>
  <si>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</si>
  <si>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</si>
  <si>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</si>
  <si>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</si>
  <si>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</si>
  <si>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</si>
  <si>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</si>
  <si>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</si>
  <si>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</si>
  <si>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</si>
  <si>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</si>
  <si>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</si>
  <si>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</si>
  <si>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</si>
  <si>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</si>
  <si>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</si>
  <si>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</si>
  <si>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</si>
  <si>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</si>
  <si>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</si>
  <si>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</si>
  <si>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</si>
  <si>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</si>
  <si>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</si>
  <si>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</si>
  <si>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</si>
  <si>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</si>
  <si>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</si>
  <si>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</si>
  <si>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</si>
  <si>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</si>
  <si>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</si>
  <si>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</si>
  <si>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</si>
  <si>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</si>
  <si>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</si>
  <si>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</si>
  <si>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</si>
  <si>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</si>
  <si>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</si>
  <si>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</si>
  <si>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</si>
  <si>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</si>
  <si>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</si>
  <si>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</si>
  <si>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</si>
  <si>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</si>
  <si>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</si>
  <si>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</si>
  <si>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</si>
  <si>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</si>
  <si>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</si>
  <si>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</si>
  <si>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</si>
  <si>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</si>
  <si>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</si>
  <si>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</si>
  <si>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</si>
  <si>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</si>
  <si>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</si>
  <si>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</si>
  <si>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</si>
  <si>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</si>
  <si>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</si>
  <si>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</si>
  <si>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</si>
  <si>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</si>
  <si>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</si>
  <si>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</si>
  <si>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</si>
  <si>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</si>
  <si>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</si>
  <si>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</si>
  <si>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</si>
  <si>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</si>
  <si>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</si>
  <si>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</si>
  <si>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</si>
  <si>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</si>
  <si>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</si>
  <si>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</si>
  <si>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</si>
  <si>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</si>
  <si>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</si>
  <si>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</si>
  <si>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</si>
  <si>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</si>
  <si>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</si>
  <si>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</si>
  <si>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</si>
  <si>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</si>
  <si>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</si>
  <si>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</si>
  <si>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</si>
  <si>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</si>
  <si>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</si>
  <si>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</si>
  <si>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</si>
  <si>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</si>
  <si>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</si>
  <si>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</si>
  <si>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</si>
  <si>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</si>
  <si>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</si>
  <si>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</si>
  <si>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</si>
  <si>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</si>
  <si>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</si>
  <si>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</si>
  <si>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</si>
  <si>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</si>
  <si>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</si>
  <si>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</si>
  <si>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</si>
  <si>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</si>
  <si>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</si>
  <si>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</si>
  <si>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</si>
  <si>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</si>
  <si>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</si>
  <si>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</si>
  <si>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</si>
  <si>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</si>
  <si>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</si>
  <si>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</si>
  <si>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</si>
  <si>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</si>
  <si>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</si>
  <si>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</si>
  <si>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</si>
  <si>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</si>
  <si>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</si>
  <si>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</si>
  <si>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</si>
  <si>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</si>
  <si>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</si>
  <si>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</si>
  <si>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</si>
  <si>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</si>
  <si>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</si>
  <si>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</si>
  <si>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</si>
  <si>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</si>
  <si>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</si>
  <si>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</si>
  <si>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</si>
  <si>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</si>
  <si>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</si>
  <si>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</si>
  <si>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</si>
  <si>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</si>
  <si>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</si>
  <si>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</si>
  <si>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</si>
  <si>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</si>
  <si>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</si>
  <si>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</si>
  <si>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</si>
  <si>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</si>
  <si>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</si>
  <si>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</si>
  <si>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</si>
  <si>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</si>
  <si>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</si>
  <si>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</si>
  <si>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</si>
  <si>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</si>
  <si>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</si>
  <si>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</si>
  <si>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</si>
  <si>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</si>
  <si>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</si>
  <si>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</si>
  <si>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</si>
  <si>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</si>
  <si>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</si>
  <si>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</si>
  <si>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</si>
  <si>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</si>
  <si>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</si>
  <si>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</si>
  <si>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</si>
  <si>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</si>
  <si>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</si>
  <si>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</si>
  <si>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</si>
  <si>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</si>
  <si>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</si>
  <si>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</si>
  <si>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</si>
  <si>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</si>
  <si>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</si>
  <si>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</si>
  <si>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</si>
  <si>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</si>
  <si>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</si>
  <si>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</si>
  <si>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</si>
  <si>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</si>
  <si>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</si>
  <si>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</si>
  <si>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</si>
  <si>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</si>
  <si>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</si>
  <si>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</si>
  <si>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</si>
  <si>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</si>
  <si>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</si>
  <si>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</si>
  <si>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</si>
  <si>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</si>
  <si>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</si>
  <si>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</si>
  <si>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</si>
  <si>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</si>
  <si>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</si>
  <si>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</si>
  <si>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</si>
  <si>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</si>
  <si>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</si>
  <si>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</si>
  <si>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</si>
  <si>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</si>
  <si>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</si>
  <si>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</si>
  <si>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</si>
  <si>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</si>
  <si>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</si>
  <si>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</si>
  <si>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</si>
  <si>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</si>
  <si>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</si>
  <si>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</si>
  <si>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</si>
  <si>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</si>
  <si>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</si>
  <si>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</si>
  <si>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</si>
  <si>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</si>
  <si>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</si>
  <si>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</si>
  <si>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</si>
  <si>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</si>
  <si>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</si>
  <si>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</si>
  <si>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</si>
  <si>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</si>
  <si>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</si>
  <si>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</si>
  <si>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</si>
  <si>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</si>
  <si>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</si>
  <si>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</si>
  <si>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</si>
  <si>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</si>
  <si>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</si>
  <si>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</si>
  <si>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</si>
  <si>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</si>
  <si>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</si>
  <si>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</si>
  <si>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</si>
  <si>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</si>
  <si>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</si>
  <si>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</si>
  <si>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</si>
  <si>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</si>
  <si>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</si>
  <si>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</si>
  <si>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</si>
  <si>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</si>
  <si>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</si>
  <si>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</si>
  <si>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</si>
  <si>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</si>
  <si>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</si>
  <si>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</si>
  <si>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</si>
  <si>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</si>
  <si>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</si>
  <si>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</si>
  <si>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</si>
  <si>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</si>
  <si>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</si>
  <si>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</si>
  <si>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</si>
  <si>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</si>
  <si>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</si>
  <si>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</si>
  <si>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</si>
  <si>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</si>
  <si>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</si>
  <si>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</si>
  <si>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</si>
  <si>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</si>
  <si>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</si>
  <si>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</si>
  <si>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</si>
  <si>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</si>
  <si>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</si>
  <si>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</si>
  <si>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</si>
  <si>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</si>
  <si>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</si>
  <si>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</si>
  <si>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</si>
  <si>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</si>
  <si>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</si>
  <si>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</si>
  <si>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</si>
  <si>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</si>
  <si>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</si>
  <si>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</si>
  <si>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</si>
  <si>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</si>
  <si>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</si>
  <si>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</si>
  <si>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</si>
  <si>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</si>
  <si>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</si>
  <si>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</si>
  <si>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</si>
  <si>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</si>
  <si>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</si>
  <si>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</si>
  <si>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</si>
  <si>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</si>
  <si>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</si>
  <si>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</si>
  <si>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</si>
  <si>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</si>
  <si>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</si>
  <si>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</si>
  <si>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</si>
  <si>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</si>
  <si>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</si>
  <si>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</si>
  <si>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</si>
  <si>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</si>
  <si>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</si>
  <si>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</si>
  <si>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</si>
  <si>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</si>
  <si>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</si>
  <si>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</si>
  <si>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</si>
  <si>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</si>
  <si>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</si>
  <si>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</si>
  <si>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</si>
  <si>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</si>
  <si>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</si>
  <si>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</si>
  <si>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</si>
  <si>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</si>
  <si>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</si>
  <si>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</si>
  <si>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</si>
  <si>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</si>
  <si>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</si>
  <si>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</si>
  <si>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</si>
  <si>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</si>
  <si>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</si>
  <si>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</si>
  <si>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</si>
  <si>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</si>
  <si>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</si>
  <si>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</si>
  <si>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</si>
  <si>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</si>
  <si>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</si>
  <si>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</si>
  <si>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</si>
  <si>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</si>
  <si>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</si>
  <si>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</si>
  <si>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</si>
  <si>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</si>
  <si>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</si>
  <si>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</si>
  <si>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</si>
  <si>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</si>
  <si>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</si>
  <si>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</si>
  <si>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</si>
  <si>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</si>
  <si>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</si>
  <si>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</si>
  <si>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</si>
  <si>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</si>
  <si>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</si>
  <si>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</si>
  <si>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</si>
  <si>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</si>
  <si>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</si>
  <si>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</si>
  <si>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</si>
  <si>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</si>
  <si>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</si>
  <si>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</si>
  <si>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</si>
  <si>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</si>
  <si>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</si>
  <si>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</si>
  <si>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</si>
  <si>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</si>
  <si>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</si>
  <si>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</si>
  <si>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</si>
  <si>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</si>
  <si>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</si>
  <si>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</si>
  <si>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</si>
  <si>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</si>
  <si>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</si>
  <si>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</si>
  <si>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</si>
  <si>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</si>
  <si>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</si>
  <si>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</si>
  <si>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</si>
  <si>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</si>
  <si>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</si>
  <si>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</si>
  <si>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</si>
  <si>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</si>
  <si>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</si>
  <si>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</si>
  <si>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</si>
  <si>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</si>
  <si>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</si>
  <si>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</si>
  <si>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</si>
  <si>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</si>
  <si>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</si>
  <si>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</si>
  <si>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</si>
  <si>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</si>
  <si>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</si>
  <si>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</si>
  <si>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</si>
  <si>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</si>
  <si>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</si>
  <si>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</si>
  <si>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</si>
  <si>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</si>
  <si>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</si>
  <si>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</si>
  <si>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</si>
  <si>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</si>
  <si>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</si>
  <si>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</si>
  <si>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</si>
  <si>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</si>
  <si>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</si>
  <si>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</si>
  <si>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</si>
  <si>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</si>
  <si>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</si>
  <si>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</si>
  <si>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</si>
  <si>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</si>
  <si>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</si>
  <si>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</si>
  <si>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</si>
  <si>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</si>
  <si>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</si>
  <si>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</si>
  <si>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</si>
  <si>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</si>
  <si>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</si>
  <si>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</si>
  <si>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</si>
  <si>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</si>
  <si>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</si>
  <si>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</si>
  <si>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</si>
  <si>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</si>
  <si>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</si>
  <si>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</si>
  <si>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</si>
  <si>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</si>
  <si>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</si>
  <si>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</si>
  <si>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</si>
  <si>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</si>
  <si>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</si>
  <si>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</si>
  <si>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</si>
  <si>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</si>
  <si>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</si>
  <si>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</si>
  <si>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</si>
  <si>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</si>
  <si>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</si>
  <si>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</si>
  <si>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</si>
  <si>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</si>
  <si>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</si>
  <si>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</si>
  <si>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</si>
  <si>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</si>
  <si>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</si>
  <si>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</si>
  <si>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</si>
  <si>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</si>
  <si>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</si>
  <si>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</si>
  <si>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</si>
  <si>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</si>
  <si>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</si>
  <si>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</si>
  <si>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</si>
  <si>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</si>
  <si>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</si>
  <si>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</si>
  <si>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</si>
  <si>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</si>
  <si>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</si>
  <si>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</si>
  <si>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</si>
  <si>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</si>
  <si>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</si>
  <si>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</si>
  <si>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</si>
  <si>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</si>
  <si>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</si>
  <si>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</si>
  <si>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</si>
  <si>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</si>
  <si>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</si>
  <si>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</si>
  <si>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</si>
  <si>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</si>
  <si>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</si>
  <si>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</si>
  <si>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</si>
  <si>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</si>
  <si>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</si>
  <si>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</si>
  <si>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</si>
  <si>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</si>
  <si>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</si>
  <si>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</si>
  <si>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</si>
  <si>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</si>
  <si>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</si>
  <si>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</si>
  <si>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</si>
  <si>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</si>
  <si>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</si>
  <si>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</si>
  <si>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</si>
  <si>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</si>
  <si>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</si>
  <si>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</si>
  <si>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</si>
  <si>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</si>
  <si>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</si>
  <si>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</si>
  <si>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</si>
  <si>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</si>
  <si>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</si>
  <si>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</si>
  <si>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</si>
  <si>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</si>
  <si>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</si>
  <si>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</si>
  <si>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</si>
  <si>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</si>
  <si>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</si>
  <si>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</si>
  <si>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</si>
  <si>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</si>
  <si>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</si>
  <si>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</si>
  <si>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</si>
  <si>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</si>
  <si>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</si>
  <si>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</si>
  <si>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</si>
  <si>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</si>
  <si>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</si>
  <si>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</si>
  <si>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</si>
  <si>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</si>
  <si>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</si>
  <si>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</si>
  <si>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</si>
  <si>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</si>
  <si>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</si>
  <si>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</si>
  <si>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</si>
  <si>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</si>
  <si>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</si>
  <si>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</si>
  <si>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</si>
  <si>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</si>
  <si>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</si>
  <si>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</si>
  <si>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</si>
  <si>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</si>
  <si>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</si>
  <si>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</si>
  <si>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</si>
  <si>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</si>
  <si>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</si>
  <si>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</si>
  <si>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</si>
  <si>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</si>
  <si>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</si>
  <si>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</si>
  <si>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</si>
  <si>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</si>
  <si>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</si>
  <si>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</si>
  <si>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</si>
  <si>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</si>
  <si>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</si>
  <si>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</si>
  <si>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</si>
  <si>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</si>
  <si>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</si>
  <si>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</si>
  <si>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</si>
  <si>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</si>
  <si>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</si>
  <si>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</si>
  <si>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</si>
  <si>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</si>
  <si>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</si>
  <si>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</si>
  <si>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</si>
  <si>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</si>
  <si>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</si>
  <si>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</si>
  <si>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</si>
  <si>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</si>
  <si>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</si>
  <si>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</si>
  <si>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</si>
  <si>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</si>
  <si>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</si>
  <si>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</si>
  <si>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</si>
  <si>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</si>
  <si>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</si>
  <si>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</si>
  <si>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</si>
  <si>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</si>
  <si>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</si>
  <si>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</si>
  <si>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</si>
  <si>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</si>
  <si>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</si>
  <si>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</si>
  <si>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</si>
  <si>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</si>
  <si>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</si>
  <si>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</si>
  <si>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</si>
  <si>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</si>
  <si>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</si>
  <si>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</si>
  <si>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</si>
  <si>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</si>
  <si>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</si>
  <si>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</si>
  <si>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</si>
  <si>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</si>
  <si>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</si>
  <si>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</si>
  <si>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</si>
  <si>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</si>
  <si>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</si>
  <si>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</si>
  <si>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</si>
  <si>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</si>
  <si>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</si>
  <si>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</si>
  <si>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</si>
  <si>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</si>
  <si>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</si>
  <si>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</si>
  <si>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</si>
  <si>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</si>
  <si>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</si>
  <si>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</si>
  <si>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</si>
  <si>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</si>
  <si>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</si>
  <si>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</si>
  <si>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</si>
  <si>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</si>
  <si>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</si>
  <si>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</si>
  <si>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</si>
  <si>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</si>
  <si>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</si>
  <si>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</si>
  <si>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</si>
  <si>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</si>
  <si>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</si>
  <si>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</si>
  <si>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</si>
  <si>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</si>
  <si>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</si>
  <si>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</si>
  <si>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</si>
  <si>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</si>
  <si>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</si>
  <si>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</si>
  <si>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</si>
  <si>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</si>
  <si>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</si>
  <si>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</si>
  <si>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</si>
  <si>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</si>
  <si>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</si>
  <si>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</si>
  <si>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</si>
  <si>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</si>
  <si>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</si>
  <si>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</si>
  <si>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</si>
  <si>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</si>
  <si>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</si>
  <si>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</si>
  <si>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</si>
  <si>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</si>
  <si>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</si>
  <si>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</si>
  <si>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</si>
  <si>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</si>
  <si>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</si>
  <si>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</si>
  <si>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</si>
  <si>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</si>
  <si>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</si>
  <si>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</si>
  <si>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</si>
  <si>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</si>
  <si>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</si>
  <si>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</si>
  <si>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</si>
  <si>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</si>
  <si>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</si>
  <si>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</si>
  <si>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</si>
  <si>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</si>
  <si>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</si>
  <si>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</si>
  <si>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</si>
  <si>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</si>
  <si>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</si>
  <si>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</si>
  <si>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</si>
  <si>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</si>
  <si>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</si>
  <si>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</si>
  <si>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</si>
  <si>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</si>
  <si>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</si>
  <si>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</si>
  <si>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</si>
  <si>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</si>
  <si>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</si>
  <si>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</si>
  <si>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</si>
  <si>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</si>
  <si>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</si>
  <si>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</si>
  <si>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</si>
  <si>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</si>
  <si>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</si>
  <si>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</si>
  <si>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</si>
  <si>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</si>
  <si>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</si>
  <si>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</si>
  <si>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</si>
  <si>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</si>
  <si>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</si>
  <si>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</si>
  <si>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</si>
  <si>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</si>
  <si>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</si>
  <si>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</si>
  <si>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</si>
  <si>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</si>
  <si>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</si>
  <si>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</si>
  <si>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</si>
  <si>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</si>
  <si>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</si>
  <si>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</si>
  <si>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</si>
  <si>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</si>
  <si>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</si>
  <si>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</si>
  <si>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</si>
  <si>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</si>
  <si>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</si>
  <si>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</si>
  <si>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</si>
  <si>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</si>
  <si>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</si>
  <si>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</si>
  <si>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</si>
  <si>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</si>
  <si>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</si>
  <si>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</si>
  <si>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</si>
  <si>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</si>
  <si>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</si>
  <si>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</si>
  <si>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</si>
  <si>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</si>
  <si>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</si>
  <si>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</si>
  <si>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</si>
  <si>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</si>
  <si>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</si>
  <si>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</si>
  <si>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</si>
  <si>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</si>
  <si>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</si>
  <si>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</si>
  <si>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</si>
  <si>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</si>
  <si>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</si>
  <si>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</si>
  <si>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</si>
  <si>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</si>
  <si>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</si>
  <si>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</si>
  <si>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</si>
  <si>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</si>
  <si>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</si>
  <si>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</si>
  <si>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</si>
  <si>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</si>
  <si>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</si>
  <si>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</si>
  <si>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</si>
  <si>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</si>
  <si>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</si>
  <si>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</si>
  <si>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</si>
  <si>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</si>
  <si>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</si>
  <si>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</si>
  <si>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</si>
  <si>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</si>
  <si>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</si>
  <si>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</si>
  <si>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</si>
  <si>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</si>
  <si>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</si>
  <si>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</si>
  <si>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</si>
  <si>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</si>
  <si>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</si>
  <si>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</si>
  <si>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</si>
  <si>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</si>
  <si>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</si>
  <si>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</si>
  <si>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</si>
  <si>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</si>
  <si>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</si>
  <si>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</si>
  <si>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</si>
  <si>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</si>
  <si>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</si>
  <si>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</si>
  <si>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</si>
  <si>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</si>
  <si>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</si>
  <si>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</si>
  <si>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</si>
  <si>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</si>
  <si>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</si>
  <si>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</si>
  <si>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</si>
  <si>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</si>
  <si>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</si>
  <si>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</si>
  <si>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</si>
  <si>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</si>
  <si>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</si>
  <si>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</si>
  <si>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</si>
  <si>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</si>
  <si>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</si>
  <si>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</si>
  <si>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</si>
  <si>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</si>
  <si>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</si>
  <si>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</si>
  <si>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</si>
  <si>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</si>
  <si>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</si>
  <si>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</si>
  <si>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</si>
  <si>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</si>
  <si>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</si>
  <si>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</si>
  <si>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</si>
  <si>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</si>
  <si>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</si>
  <si>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</si>
  <si>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</si>
  <si>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</si>
  <si>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</si>
  <si>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</si>
  <si>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</si>
  <si>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</si>
  <si>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</si>
  <si>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</si>
  <si>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</si>
  <si>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</si>
  <si>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</si>
  <si>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</si>
  <si>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</si>
  <si>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</si>
  <si>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</si>
  <si>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</si>
  <si>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</si>
  <si>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</si>
  <si>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</si>
  <si>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</si>
  <si>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</si>
  <si>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</si>
  <si>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</si>
  <si>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</si>
  <si>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</si>
  <si>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</si>
  <si>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</si>
  <si>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</si>
  <si>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</si>
  <si>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</si>
  <si>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</si>
  <si>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</si>
  <si>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</si>
  <si>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</si>
  <si>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</si>
  <si>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</si>
  <si>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</si>
  <si>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</si>
  <si>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</si>
  <si>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</si>
  <si>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</si>
  <si>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</si>
  <si>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</si>
  <si>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</si>
  <si>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</si>
  <si>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</si>
  <si>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</si>
  <si>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</si>
  <si>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</si>
  <si>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</si>
  <si>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</si>
  <si>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</si>
  <si>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</si>
  <si>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</si>
  <si>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</si>
  <si>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</si>
  <si>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</si>
  <si>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</si>
  <si>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</si>
  <si>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</si>
  <si>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</si>
  <si>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</si>
  <si>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</si>
  <si>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</si>
  <si>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</si>
  <si>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</si>
  <si>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</si>
  <si>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</si>
  <si>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</si>
  <si>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</si>
  <si>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</si>
  <si>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</si>
  <si>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</si>
  <si>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</si>
  <si>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</si>
  <si>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</si>
  <si>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</si>
  <si>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</si>
  <si>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</si>
  <si>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</si>
  <si>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</si>
  <si>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</si>
  <si>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</si>
  <si>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</si>
  <si>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</si>
  <si>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</si>
  <si>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</si>
  <si>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</si>
  <si>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</si>
  <si>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</si>
  <si>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</si>
  <si>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</si>
  <si>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</si>
  <si>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</si>
  <si>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</si>
  <si>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</si>
  <si>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</si>
  <si>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</si>
  <si>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</si>
  <si>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</si>
  <si>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</si>
  <si>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</si>
  <si>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</si>
  <si>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</si>
  <si>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</si>
  <si>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</si>
  <si>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</si>
  <si>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</si>
  <si>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</si>
  <si>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</si>
  <si>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</si>
  <si>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</si>
  <si>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</si>
  <si>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</si>
  <si>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</si>
  <si>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</si>
  <si>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</si>
  <si>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</si>
  <si>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</si>
  <si>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</si>
  <si>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</si>
  <si>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</si>
  <si>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</si>
  <si>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</si>
  <si>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</si>
  <si>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</si>
  <si>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</si>
  <si>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</si>
  <si>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</si>
  <si>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</si>
  <si>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</si>
  <si>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</si>
  <si>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</si>
  <si>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</si>
  <si>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</si>
  <si>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</si>
  <si>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</si>
  <si>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</si>
  <si>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</si>
  <si>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</si>
  <si>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</si>
  <si>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</si>
  <si>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</si>
  <si>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</si>
  <si>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</si>
  <si>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</si>
  <si>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</si>
  <si>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</si>
  <si>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</si>
  <si>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</si>
  <si>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</si>
  <si>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</si>
  <si>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</si>
  <si>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</si>
  <si>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</si>
  <si>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</si>
  <si>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</si>
  <si>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</si>
  <si>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</si>
  <si>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</si>
  <si>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</si>
  <si>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</si>
  <si>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</si>
  <si>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</si>
  <si>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</si>
  <si>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</si>
  <si>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</si>
  <si>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</si>
  <si>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</si>
  <si>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</si>
  <si>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</si>
  <si>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</si>
  <si>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</si>
  <si>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</si>
  <si>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</si>
  <si>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</si>
  <si>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</si>
  <si>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</si>
  <si>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</si>
  <si>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</si>
  <si>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</si>
  <si>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</si>
  <si>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</si>
  <si>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</si>
  <si>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</si>
  <si>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</si>
  <si>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</si>
  <si>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</si>
  <si>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</si>
  <si>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</si>
  <si>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</si>
  <si>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</si>
  <si>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</si>
  <si>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</si>
  <si>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</si>
  <si>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</si>
  <si>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</si>
  <si>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</si>
  <si>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</si>
  <si>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</si>
  <si>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</si>
  <si>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</si>
  <si>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</si>
  <si>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</si>
  <si>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</si>
  <si>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</si>
  <si>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</si>
  <si>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</si>
  <si>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</si>
  <si>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</si>
  <si>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</si>
  <si>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</si>
  <si>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</si>
  <si>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</si>
  <si>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</si>
  <si>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</si>
  <si>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</si>
  <si>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</si>
  <si>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</si>
  <si>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</si>
  <si>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</si>
  <si>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</si>
  <si>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</si>
  <si>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</si>
  <si>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</si>
  <si>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</si>
  <si>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</si>
  <si>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</si>
  <si>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</si>
  <si>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</si>
  <si>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</si>
  <si>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</si>
  <si>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</si>
  <si>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</si>
  <si>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</si>
  <si>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</si>
  <si>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</si>
  <si>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</si>
  <si>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</si>
  <si>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</si>
  <si>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</si>
  <si>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</si>
  <si>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</si>
  <si>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</si>
  <si>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</si>
  <si>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</si>
  <si>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</si>
  <si>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</si>
  <si>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</si>
  <si>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</si>
  <si>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</si>
  <si>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</si>
  <si>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</si>
  <si>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</si>
  <si>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</si>
  <si>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</si>
  <si>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</si>
  <si>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</si>
  <si>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</si>
  <si>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</si>
  <si>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</si>
  <si>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</si>
  <si>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</si>
  <si>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</si>
  <si>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</si>
  <si>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</si>
  <si>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</si>
  <si>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</si>
  <si>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</si>
  <si>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</si>
  <si>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</si>
  <si>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</si>
  <si>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</si>
  <si>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</si>
  <si>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</si>
  <si>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</si>
  <si>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</si>
  <si>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</si>
  <si>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</si>
  <si>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</si>
  <si>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</si>
  <si>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</si>
  <si>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</si>
  <si>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</si>
  <si>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</si>
  <si>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</si>
  <si>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</si>
  <si>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</si>
  <si>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</si>
  <si>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</si>
  <si>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</si>
  <si>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</si>
  <si>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</si>
  <si>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</si>
  <si>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</si>
  <si>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</si>
  <si>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</si>
  <si>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</si>
  <si>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</si>
  <si>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</si>
  <si>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</si>
  <si>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</si>
  <si>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</si>
  <si>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</si>
  <si>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</si>
  <si>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</si>
  <si>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</si>
  <si>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</si>
  <si>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</si>
  <si>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</si>
  <si>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</si>
  <si>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</si>
  <si>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</si>
  <si>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</si>
  <si>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</si>
  <si>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</si>
  <si>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</si>
  <si>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</si>
  <si>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</si>
  <si>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</si>
  <si>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</si>
  <si>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</si>
  <si>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</si>
  <si>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</si>
  <si>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</si>
  <si>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</si>
  <si>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</si>
  <si>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</si>
  <si>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</si>
  <si>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</si>
  <si>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</si>
  <si>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</si>
  <si>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</si>
  <si>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</si>
  <si>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</si>
  <si>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</si>
  <si>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</si>
  <si>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</si>
  <si>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</si>
  <si>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</si>
  <si>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</si>
  <si>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</si>
  <si>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</si>
  <si>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</si>
  <si>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</si>
  <si>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</si>
  <si>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</si>
  <si>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</si>
  <si>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</si>
  <si>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</si>
  <si>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</si>
  <si>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</si>
  <si>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</si>
  <si>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</si>
  <si>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</si>
  <si>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</si>
  <si>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</si>
  <si>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</si>
  <si>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</si>
  <si>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</si>
  <si>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</si>
  <si>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</si>
  <si>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</si>
  <si>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</si>
  <si>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</si>
  <si>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</si>
  <si>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</si>
  <si>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</si>
  <si>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</si>
  <si>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</si>
  <si>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</si>
  <si>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</si>
  <si>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</si>
  <si>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</si>
  <si>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</si>
  <si>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</si>
  <si>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</si>
  <si>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</si>
  <si>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</si>
  <si>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</si>
  <si>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</si>
  <si>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</si>
  <si>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</si>
  <si>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</si>
  <si>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</si>
  <si>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</si>
  <si>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</si>
  <si>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</si>
  <si>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</si>
  <si>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</si>
  <si>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</si>
  <si>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</si>
  <si>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</si>
  <si>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</si>
  <si>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</si>
  <si>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</si>
  <si>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</si>
  <si>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</si>
  <si>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</si>
  <si>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</si>
  <si>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</si>
  <si>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</si>
  <si>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</si>
  <si>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</si>
  <si>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</si>
  <si>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</si>
  <si>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</si>
  <si>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</si>
  <si>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</si>
  <si>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</si>
  <si>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</si>
  <si>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</si>
  <si>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</si>
  <si>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</si>
  <si>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</si>
  <si>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</si>
  <si>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</si>
  <si>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</si>
  <si>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</si>
  <si>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</si>
  <si>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</si>
  <si>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</si>
  <si>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</si>
  <si>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</si>
  <si>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</si>
  <si>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</si>
  <si>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</si>
  <si>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</si>
  <si>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</si>
  <si>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</si>
  <si>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</si>
  <si>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</si>
  <si>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</si>
  <si>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</si>
  <si>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</si>
  <si>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</si>
  <si>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</si>
  <si>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</si>
  <si>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</si>
  <si>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</si>
  <si>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</si>
  <si>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</si>
  <si>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</si>
  <si>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</si>
  <si>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</si>
  <si>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</si>
  <si>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</si>
  <si>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</si>
  <si>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</si>
  <si>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</si>
  <si>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</si>
  <si>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</si>
  <si>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</si>
  <si>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</si>
  <si>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</si>
  <si>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</si>
  <si>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</si>
  <si>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</si>
  <si>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</si>
  <si>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</si>
  <si>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</si>
  <si>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</si>
  <si>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</si>
  <si>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</si>
  <si>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</si>
  <si>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</si>
  <si>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</si>
  <si>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</si>
  <si>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</si>
  <si>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</si>
  <si>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</si>
  <si>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</si>
  <si>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</si>
  <si>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</si>
  <si>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</si>
  <si>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</si>
  <si>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</si>
  <si>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</si>
  <si>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</si>
  <si>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</si>
  <si>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</si>
  <si>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</si>
  <si>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</si>
  <si>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</si>
  <si>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</si>
  <si>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</si>
  <si>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</si>
  <si>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</si>
  <si>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</si>
  <si>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</si>
  <si>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</si>
  <si>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</si>
  <si>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</si>
  <si>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</si>
  <si>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</si>
  <si>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</si>
  <si>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</si>
  <si>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</si>
  <si>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</si>
  <si>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</si>
  <si>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</si>
  <si>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</si>
  <si>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</si>
  <si>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</si>
  <si>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</si>
  <si>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</si>
  <si>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</si>
  <si>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</si>
  <si>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</si>
  <si>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</si>
  <si>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</si>
  <si>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</si>
  <si>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</si>
  <si>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</si>
  <si>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</si>
  <si>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</si>
  <si>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</si>
  <si>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</si>
  <si>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</si>
  <si>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</si>
  <si>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</si>
  <si>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</si>
  <si>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</si>
  <si>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</si>
  <si>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</si>
  <si>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</si>
  <si>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</si>
  <si>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</si>
  <si>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</si>
  <si>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</si>
  <si>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</si>
  <si>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</si>
  <si>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</si>
  <si>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</si>
  <si>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</si>
  <si>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</si>
  <si>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</si>
  <si>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</si>
  <si>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</si>
  <si>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</si>
  <si>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</si>
  <si>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</si>
  <si>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</si>
  <si>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</si>
  <si>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</si>
  <si>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</si>
  <si>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</si>
  <si>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</si>
  <si>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</si>
  <si>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</si>
  <si>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</si>
  <si>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</si>
  <si>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</si>
  <si>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</si>
  <si>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</si>
  <si>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</si>
  <si>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</si>
  <si>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</si>
  <si>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</si>
  <si>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</si>
  <si>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</si>
  <si>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</si>
  <si>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</si>
  <si>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</si>
  <si>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</si>
  <si>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</si>
  <si>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</si>
  <si>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</si>
  <si>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</si>
  <si>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</si>
  <si>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</si>
  <si>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</si>
  <si>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</si>
  <si>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</si>
  <si>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</si>
  <si>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</si>
  <si>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</si>
  <si>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</si>
  <si>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</si>
  <si>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</si>
  <si>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</si>
  <si>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</si>
  <si>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</si>
  <si>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</si>
  <si>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</si>
  <si>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</si>
  <si>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</si>
  <si>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</si>
  <si>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</si>
  <si>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</si>
  <si>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</si>
  <si>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</si>
  <si>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</si>
  <si>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</si>
  <si>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</si>
  <si>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</si>
  <si>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</si>
  <si>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</si>
  <si>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</si>
  <si>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</si>
  <si>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</si>
  <si>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</si>
  <si>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</si>
  <si>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</si>
  <si>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</si>
  <si>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</si>
  <si>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</si>
  <si>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</si>
  <si>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</si>
  <si>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</si>
  <si>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</si>
  <si>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</si>
  <si>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</si>
  <si>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</si>
  <si>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</si>
  <si>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</si>
  <si>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</si>
  <si>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</si>
  <si>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</si>
  <si>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</si>
  <si>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</si>
  <si>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</si>
  <si>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</si>
  <si>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</si>
  <si>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</si>
  <si>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</si>
  <si>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</si>
  <si>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</si>
  <si>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</si>
  <si>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</si>
  <si>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</si>
  <si>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</si>
  <si>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</si>
  <si>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</si>
  <si>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</si>
  <si>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</si>
  <si>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</si>
  <si>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</si>
  <si>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</si>
  <si>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</si>
  <si>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</si>
  <si>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</si>
  <si>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</si>
  <si>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</si>
  <si>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</si>
  <si>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</si>
  <si>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</si>
  <si>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</si>
  <si>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</si>
  <si>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</si>
  <si>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</si>
  <si>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</si>
  <si>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</si>
  <si>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</si>
  <si>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</si>
  <si>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</si>
  <si>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</si>
  <si>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</si>
  <si>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</si>
  <si>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</si>
  <si>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</si>
  <si>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</si>
  <si>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</si>
  <si>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</si>
  <si>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</si>
  <si>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</si>
  <si>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</si>
  <si>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</si>
  <si>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</si>
  <si>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</si>
  <si>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</si>
  <si>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</si>
  <si>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</si>
  <si>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</si>
  <si>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</si>
  <si>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</si>
  <si>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</si>
  <si>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</si>
  <si>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</si>
  <si>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</si>
  <si>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</si>
  <si>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</si>
  <si>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</si>
  <si>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</si>
  <si>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</si>
  <si>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</si>
  <si>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</si>
  <si>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</si>
  <si>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</si>
  <si>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</si>
  <si>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</si>
  <si>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</si>
  <si>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</si>
  <si>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</si>
  <si>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</si>
  <si>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</si>
  <si>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</si>
  <si>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</si>
  <si>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</si>
  <si>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</si>
  <si>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</si>
  <si>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</si>
  <si>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</si>
  <si>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</si>
  <si>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</si>
  <si>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</si>
  <si>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</si>
  <si>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</si>
  <si>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</si>
  <si>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</si>
  <si>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</si>
  <si>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</si>
  <si>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</si>
  <si>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</si>
  <si>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</si>
  <si>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</si>
  <si>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</si>
  <si>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</si>
  <si>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</si>
  <si>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</si>
  <si>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</si>
  <si>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</si>
  <si>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</si>
  <si>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</si>
  <si>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</si>
  <si>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</si>
  <si>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</si>
  <si>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</si>
  <si>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</si>
  <si>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</si>
  <si>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</si>
  <si>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</si>
  <si>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</si>
  <si>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</si>
  <si>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</si>
  <si>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</si>
  <si>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</si>
  <si>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</si>
  <si>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</si>
  <si>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</si>
  <si>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</si>
  <si>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</si>
  <si>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</si>
  <si>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</si>
  <si>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</si>
  <si>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</si>
  <si>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</si>
  <si>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</si>
  <si>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</si>
  <si>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</si>
  <si>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</si>
  <si>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</si>
  <si>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</si>
  <si>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</si>
  <si>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</si>
  <si>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</si>
  <si>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</si>
  <si>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</si>
  <si>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</si>
  <si>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</si>
  <si>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</si>
  <si>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</si>
  <si>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</si>
  <si>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</si>
  <si>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</si>
  <si>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</si>
  <si>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</si>
  <si>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</si>
  <si>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</si>
  <si>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</si>
  <si>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</si>
  <si>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</si>
  <si>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</si>
  <si>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</si>
  <si>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</si>
  <si>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</si>
  <si>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</si>
  <si>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</si>
  <si>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</si>
  <si>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</si>
  <si>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</si>
  <si>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</si>
  <si>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</si>
  <si>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</si>
  <si>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</si>
  <si>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</si>
  <si>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</si>
  <si>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</si>
  <si>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</si>
  <si>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</si>
  <si>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</si>
  <si>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</si>
  <si>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</si>
  <si>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</si>
  <si>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</si>
  <si>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</si>
  <si>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</si>
  <si>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</si>
  <si>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</si>
  <si>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</si>
  <si>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</si>
  <si>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</si>
  <si>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</si>
  <si>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</si>
  <si>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</si>
  <si>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</si>
  <si>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</si>
  <si>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</si>
  <si>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</si>
  <si>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</si>
  <si>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</si>
  <si>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</si>
  <si>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</si>
  <si>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</si>
  <si>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</si>
  <si>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</si>
  <si>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</si>
  <si>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</si>
  <si>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</si>
  <si>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</si>
  <si>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</si>
  <si>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</si>
  <si>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</si>
  <si>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</si>
  <si>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</si>
  <si>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</si>
  <si>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</si>
  <si>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</si>
  <si>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</si>
  <si>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</si>
  <si>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</si>
  <si>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</si>
  <si>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</si>
  <si>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</si>
  <si>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</si>
  <si>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</si>
  <si>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</si>
  <si>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</si>
  <si>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</si>
  <si>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</si>
  <si>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</si>
  <si>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</si>
  <si>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</si>
  <si>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</si>
  <si>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</si>
  <si>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</si>
  <si>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</si>
  <si>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</si>
  <si>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</si>
  <si>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</si>
  <si>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</si>
  <si>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</si>
  <si>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</si>
  <si>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</si>
  <si>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</si>
  <si>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</si>
  <si>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</si>
  <si>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</si>
  <si>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</si>
  <si>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</si>
  <si>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</si>
  <si>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</si>
  <si>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</si>
  <si>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</si>
  <si>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</si>
  <si>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</si>
  <si>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</si>
  <si>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</si>
  <si>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</si>
  <si>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</si>
  <si>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</si>
  <si>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</si>
  <si>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</si>
  <si>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</si>
  <si>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</si>
  <si>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</si>
  <si>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</si>
  <si>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</si>
  <si>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</si>
  <si>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</si>
  <si>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</si>
  <si>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</si>
  <si>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</si>
  <si>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</si>
  <si>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</si>
  <si>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</si>
  <si>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</si>
  <si>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</si>
  <si>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</si>
  <si>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</si>
  <si>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</si>
  <si>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</si>
  <si>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</si>
  <si>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</si>
  <si>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</si>
  <si>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</si>
  <si>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</si>
  <si>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</si>
  <si>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</si>
  <si>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</si>
  <si>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</si>
  <si>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</si>
  <si>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</si>
  <si>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</si>
  <si>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</si>
  <si>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</si>
  <si>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</si>
  <si>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</si>
  <si>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</si>
  <si>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</si>
  <si>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</si>
  <si>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</si>
  <si>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</si>
  <si>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</si>
  <si>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</si>
  <si>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</si>
  <si>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</si>
  <si>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</si>
  <si>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</si>
  <si>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</si>
  <si>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</si>
  <si>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</si>
  <si>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</si>
  <si>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</si>
  <si>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</si>
  <si>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</si>
  <si>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</si>
  <si>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</si>
  <si>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</si>
  <si>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</si>
  <si>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</si>
  <si>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</si>
  <si>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</si>
  <si>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</si>
  <si>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</si>
  <si>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</si>
  <si>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</si>
  <si>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</si>
  <si>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</si>
  <si>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</si>
  <si>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</si>
  <si>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</si>
  <si>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</si>
  <si>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</si>
  <si>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</si>
  <si>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</si>
  <si>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</si>
  <si>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</si>
  <si>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</si>
  <si>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</si>
  <si>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</si>
  <si>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</si>
  <si>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</si>
  <si>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</si>
  <si>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</si>
  <si>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</si>
  <si>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</si>
  <si>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</si>
  <si>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</si>
  <si>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</si>
  <si>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</si>
  <si>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</si>
  <si>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</si>
  <si>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</si>
  <si>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</si>
  <si>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</si>
  <si>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</si>
  <si>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</si>
  <si>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</si>
  <si>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</si>
  <si>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</si>
  <si>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</si>
  <si>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</si>
  <si>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</si>
  <si>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</si>
  <si>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</si>
  <si>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</si>
  <si>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</si>
  <si>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</si>
  <si>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</si>
  <si>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</si>
  <si>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</si>
  <si>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</si>
  <si>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</si>
  <si>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</si>
  <si>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</si>
  <si>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</si>
  <si>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</si>
  <si>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</si>
  <si>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</si>
  <si>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</si>
  <si>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</si>
  <si>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</si>
  <si>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</si>
  <si>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</si>
  <si>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</si>
  <si>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</si>
  <si>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</si>
  <si>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</si>
  <si>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</si>
  <si>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</si>
  <si>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</si>
  <si>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</si>
  <si>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</si>
  <si>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</si>
  <si>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</si>
  <si>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</si>
  <si>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</si>
  <si>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</si>
  <si>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</si>
  <si>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</si>
  <si>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</si>
  <si>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</si>
  <si>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</si>
  <si>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</si>
  <si>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</si>
  <si>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</si>
  <si>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</si>
  <si>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</si>
  <si>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</si>
  <si>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</si>
  <si>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</si>
  <si>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</si>
  <si>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</si>
  <si>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</si>
  <si>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</si>
  <si>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</si>
  <si>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</si>
  <si>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</si>
  <si>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</si>
  <si>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</si>
  <si>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</si>
  <si>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</si>
  <si>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</si>
  <si>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</si>
  <si>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</si>
  <si>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</si>
  <si>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</si>
  <si>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</si>
  <si>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</si>
  <si>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</si>
  <si>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</si>
  <si>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</si>
  <si>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</si>
  <si>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</si>
  <si>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</si>
  <si>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</si>
  <si>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</si>
  <si>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</si>
  <si>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</si>
  <si>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</si>
  <si>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</si>
  <si>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</si>
  <si>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</si>
  <si>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</si>
  <si>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</si>
  <si>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</si>
  <si>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</si>
  <si>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</si>
  <si>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</si>
  <si>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</si>
  <si>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</si>
  <si>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</si>
  <si>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</si>
  <si>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</si>
  <si>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</si>
  <si>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</si>
  <si>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</si>
  <si>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</si>
  <si>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</si>
  <si>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</si>
  <si>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</si>
  <si>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</si>
  <si>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</si>
  <si>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</si>
  <si>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</si>
  <si>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</si>
  <si>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</si>
  <si>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</si>
  <si>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</si>
  <si>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</si>
  <si>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</si>
  <si>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</si>
  <si>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</si>
  <si>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</si>
  <si>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</si>
  <si>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</si>
  <si>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</si>
  <si>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</si>
  <si>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</si>
  <si>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</si>
  <si>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</si>
  <si>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</si>
  <si>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</si>
  <si>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</si>
  <si>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</si>
  <si>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</si>
  <si>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</si>
  <si>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</si>
  <si>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</si>
  <si>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</si>
  <si>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</si>
  <si>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</si>
  <si>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</si>
  <si>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</si>
  <si>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</si>
  <si>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</si>
  <si>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</si>
  <si>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</si>
  <si>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</si>
  <si>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</si>
  <si>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</si>
  <si>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</si>
  <si>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</si>
  <si>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</si>
  <si>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</si>
  <si>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</si>
  <si>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</si>
  <si>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</si>
  <si>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</si>
  <si>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</si>
  <si>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</si>
  <si>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</si>
  <si>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</si>
  <si>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</si>
  <si>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</si>
  <si>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</si>
  <si>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</si>
  <si>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</si>
  <si>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</si>
  <si>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</si>
  <si>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</si>
  <si>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</si>
  <si>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</si>
  <si>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</si>
  <si>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</si>
  <si>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</si>
  <si>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</si>
  <si>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</si>
  <si>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</si>
  <si>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</si>
  <si>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</si>
  <si>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</si>
  <si>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</si>
  <si>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</si>
  <si>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</si>
  <si>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</si>
  <si>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</si>
  <si>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</si>
  <si>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</si>
  <si>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</si>
  <si>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</si>
  <si>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</si>
  <si>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</si>
  <si>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</si>
  <si>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</si>
  <si>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</si>
  <si>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</si>
  <si>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</si>
  <si>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</si>
  <si>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</si>
  <si>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</si>
  <si>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</si>
  <si>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</si>
  <si>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</si>
  <si>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</si>
  <si>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</si>
  <si>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</si>
  <si>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</si>
  <si>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</si>
  <si>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</si>
  <si>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</si>
  <si>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</si>
  <si>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</si>
  <si>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</si>
  <si>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</si>
  <si>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</si>
  <si>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</si>
  <si>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</si>
  <si>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</si>
  <si>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</si>
  <si>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</si>
  <si>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</si>
  <si>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</si>
  <si>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</si>
  <si>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</si>
  <si>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</si>
  <si>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</si>
  <si>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</si>
  <si>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</si>
  <si>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</si>
  <si>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</si>
  <si>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</si>
  <si>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</si>
  <si>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</si>
  <si>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</si>
  <si>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</si>
  <si>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</si>
  <si>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</si>
  <si>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</si>
  <si>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</si>
  <si>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</si>
  <si>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</si>
  <si>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</si>
  <si>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</si>
  <si>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</si>
  <si>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</si>
  <si>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</si>
  <si>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</si>
  <si>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</si>
  <si>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</si>
  <si>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</si>
  <si>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</si>
  <si>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</si>
  <si>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</si>
  <si>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</si>
  <si>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</si>
  <si>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</si>
  <si>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</si>
  <si>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</si>
  <si>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</si>
  <si>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</si>
  <si>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</si>
  <si>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</si>
  <si>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</si>
  <si>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</si>
  <si>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</si>
  <si>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</si>
  <si>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</si>
  <si>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</si>
  <si>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</si>
  <si>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</si>
  <si>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</si>
  <si>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</si>
  <si>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</si>
  <si>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</si>
  <si>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</si>
  <si>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</si>
  <si>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</si>
  <si>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</si>
  <si>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</si>
  <si>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</si>
  <si>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</si>
  <si>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</si>
  <si>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</si>
  <si>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</si>
  <si>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</si>
  <si>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</si>
  <si>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</si>
  <si>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</si>
  <si>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</si>
  <si>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</si>
  <si>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</si>
  <si>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</si>
  <si>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</si>
  <si>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</si>
  <si>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</si>
  <si>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</si>
  <si>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</si>
  <si>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</si>
  <si>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</si>
  <si>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</si>
  <si>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</si>
  <si>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</si>
  <si>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</si>
  <si>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</si>
  <si>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</si>
  <si>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</si>
  <si>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</si>
  <si>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</si>
  <si>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</si>
  <si>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</si>
  <si>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</si>
  <si>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</si>
  <si>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</si>
  <si>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</si>
  <si>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</si>
  <si>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</si>
  <si>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</si>
  <si>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</si>
  <si>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</si>
  <si>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</si>
  <si>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</si>
  <si>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</si>
  <si>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</si>
  <si>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</si>
  <si>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</si>
  <si>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</si>
  <si>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</si>
  <si>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</si>
  <si>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</si>
  <si>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</si>
  <si>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</si>
  <si>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</si>
  <si>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</si>
  <si>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</si>
  <si>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</si>
  <si>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</si>
  <si>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</si>
  <si>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</si>
  <si>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</si>
  <si>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</si>
  <si>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</si>
  <si>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</si>
  <si>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</si>
  <si>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</si>
  <si>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</si>
  <si>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</si>
  <si>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</si>
  <si>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</si>
  <si>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</si>
  <si>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</si>
  <si>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</si>
  <si>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</si>
  <si>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</si>
  <si>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</si>
  <si>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</si>
  <si>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</si>
  <si>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</si>
  <si>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</si>
  <si>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</si>
  <si>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</si>
  <si>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</si>
  <si>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</si>
  <si>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</si>
  <si>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</si>
  <si>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</si>
  <si>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</si>
  <si>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</si>
  <si>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</si>
  <si>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</si>
  <si>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</si>
  <si>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</si>
  <si>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</si>
  <si>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</si>
  <si>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</si>
  <si>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</si>
  <si>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</si>
  <si>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</si>
  <si>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</si>
  <si>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</si>
  <si>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</si>
  <si>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</si>
  <si>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</si>
  <si>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</si>
  <si>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</si>
  <si>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</si>
  <si>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</si>
  <si>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</si>
  <si>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</si>
  <si>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</si>
  <si>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</si>
  <si>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</si>
  <si>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</si>
  <si>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</si>
  <si>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</si>
  <si>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</si>
  <si>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</si>
  <si>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</si>
  <si>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</si>
  <si>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</si>
  <si>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</si>
  <si>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</si>
  <si>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</si>
  <si>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</si>
  <si>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</si>
  <si>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</si>
  <si>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</si>
  <si>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</si>
  <si>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</si>
  <si>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</si>
  <si>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</si>
  <si>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</si>
  <si>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</si>
  <si>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</si>
  <si>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</si>
  <si>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</si>
  <si>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</si>
  <si>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</si>
  <si>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</si>
  <si>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</si>
  <si>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</si>
  <si>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</si>
  <si>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</si>
  <si>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</si>
  <si>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</si>
  <si>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</si>
  <si>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</si>
  <si>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</si>
  <si>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</si>
  <si>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</si>
  <si>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</si>
  <si>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</si>
  <si>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</si>
  <si>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</si>
  <si>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</si>
  <si>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</si>
  <si>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</si>
  <si>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</si>
  <si>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</si>
  <si>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</si>
  <si>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</si>
  <si>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</si>
  <si>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</si>
  <si>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</si>
  <si>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</si>
  <si>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</si>
  <si>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</si>
  <si>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</si>
  <si>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</si>
  <si>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</si>
  <si>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</si>
  <si>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</si>
  <si>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</si>
  <si>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</si>
  <si>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</si>
  <si>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</si>
  <si>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</si>
  <si>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</si>
  <si>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</si>
  <si>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</si>
  <si>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</si>
  <si>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</si>
  <si>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</si>
  <si>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</si>
  <si>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</si>
  <si>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</si>
  <si>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</si>
  <si>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</si>
  <si>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</si>
  <si>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</si>
  <si>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</si>
  <si>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</si>
  <si>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</si>
  <si>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</si>
  <si>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</si>
  <si>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</si>
  <si>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</si>
  <si>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</si>
  <si>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</si>
  <si>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</si>
  <si>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</si>
  <si>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</si>
  <si>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</si>
  <si>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</si>
  <si>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</si>
  <si>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</si>
  <si>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</si>
  <si>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</si>
  <si>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</si>
  <si>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</si>
  <si>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</si>
  <si>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</si>
  <si>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</si>
  <si>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</si>
  <si>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</si>
  <si>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</si>
  <si>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</si>
  <si>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</si>
  <si>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</si>
  <si>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</si>
  <si>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</si>
  <si>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</si>
  <si>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</si>
  <si>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</si>
  <si>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</si>
  <si>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</si>
  <si>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</si>
  <si>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</si>
  <si>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</si>
  <si>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</si>
  <si>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</si>
  <si>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</si>
  <si>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</si>
  <si>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</si>
  <si>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</si>
  <si>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</si>
  <si>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</si>
  <si>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</si>
  <si>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</si>
  <si>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</si>
  <si>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</si>
  <si>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</si>
  <si>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</si>
  <si>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</si>
  <si>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</si>
  <si>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</si>
  <si>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</si>
  <si>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</si>
  <si>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</si>
  <si>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</si>
  <si>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</si>
  <si>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</si>
  <si>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</si>
  <si>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</si>
  <si>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</si>
  <si>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</si>
  <si>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</si>
  <si>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</si>
  <si>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</si>
  <si>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</si>
  <si>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</si>
  <si>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</si>
  <si>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</si>
  <si>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</si>
  <si>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</si>
  <si>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</si>
  <si>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</si>
  <si>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</si>
  <si>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</si>
  <si>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</si>
  <si>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</si>
  <si>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</si>
  <si>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</si>
  <si>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</si>
  <si>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</si>
  <si>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</si>
  <si>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</si>
  <si>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</si>
  <si>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</si>
  <si>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</si>
  <si>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</si>
  <si>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</si>
  <si>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</si>
  <si>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</si>
  <si>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</si>
  <si>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</si>
  <si>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</si>
  <si>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</si>
  <si>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</si>
  <si>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</si>
  <si>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</si>
  <si>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</si>
  <si>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</si>
  <si>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</si>
  <si>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</si>
  <si>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</si>
  <si>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</si>
  <si>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</si>
  <si>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</si>
  <si>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</si>
  <si>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</si>
  <si>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</si>
  <si>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</si>
  <si>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</si>
  <si>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</si>
  <si>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</si>
  <si>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</si>
  <si>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</si>
  <si>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</si>
  <si>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</si>
  <si>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</si>
  <si>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</si>
  <si>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</si>
  <si>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</si>
  <si>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</si>
  <si>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</si>
  <si>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</si>
  <si>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</si>
  <si>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</si>
  <si>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</si>
  <si>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</si>
  <si>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</si>
  <si>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</si>
  <si>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</si>
  <si>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</si>
  <si>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</si>
  <si>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</si>
  <si>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</si>
  <si>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</si>
  <si>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</si>
  <si>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</si>
  <si>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</si>
  <si>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</si>
  <si>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</si>
  <si>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</si>
  <si>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</si>
  <si>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</si>
  <si>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</si>
  <si>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</si>
  <si>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</si>
  <si>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</si>
  <si>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</si>
  <si>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</si>
  <si>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</si>
  <si>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</si>
  <si>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</si>
  <si>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</si>
  <si>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</si>
  <si>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</si>
  <si>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</si>
  <si>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</si>
  <si>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</si>
  <si>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</si>
  <si>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</si>
  <si>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</si>
  <si>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</si>
  <si>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</si>
  <si>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</si>
  <si>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</si>
  <si>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</si>
  <si>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</si>
  <si>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</si>
  <si>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</si>
  <si>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</si>
  <si>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</si>
  <si>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</si>
  <si>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</si>
  <si>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</si>
  <si>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</si>
  <si>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</si>
  <si>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</si>
  <si>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</si>
  <si>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</si>
  <si>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</si>
  <si>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</si>
  <si>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</si>
  <si>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</si>
  <si>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</si>
  <si>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</si>
  <si>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</si>
  <si>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</si>
  <si>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</si>
  <si>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</si>
  <si>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</si>
  <si>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</si>
  <si>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</si>
  <si>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</si>
  <si>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</si>
  <si>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</si>
  <si>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</si>
  <si>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</si>
  <si>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</si>
  <si>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</si>
  <si>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</si>
  <si>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</si>
  <si>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</si>
  <si>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</si>
  <si>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</si>
  <si>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</si>
  <si>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</si>
  <si>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</si>
  <si>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</si>
  <si>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</si>
  <si>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</si>
  <si>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</si>
  <si>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</si>
  <si>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</si>
  <si>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</si>
  <si>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</si>
  <si>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</si>
  <si>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</si>
  <si>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</si>
  <si>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</si>
  <si>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</si>
  <si>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</si>
  <si>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</si>
  <si>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</si>
  <si>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</si>
  <si>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</si>
  <si>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</si>
  <si>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</si>
  <si>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</si>
  <si>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</si>
  <si>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</si>
  <si>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</si>
  <si>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</si>
  <si>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</si>
  <si>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</si>
  <si>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</si>
  <si>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</si>
  <si>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</si>
  <si>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</si>
  <si>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</si>
  <si>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</si>
  <si>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</si>
  <si>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</si>
  <si>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</si>
  <si>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</si>
  <si>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</si>
  <si>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</si>
  <si>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</si>
  <si>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</si>
  <si>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</si>
  <si>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</si>
  <si>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</si>
  <si>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</si>
  <si>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</si>
  <si>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</si>
  <si>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</si>
  <si>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</si>
  <si>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</si>
  <si>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</si>
  <si>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</si>
  <si>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</si>
  <si>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</si>
  <si>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</si>
  <si>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</si>
  <si>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</si>
  <si>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</si>
  <si>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</si>
  <si>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</si>
  <si>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</si>
  <si>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</si>
  <si>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</si>
  <si>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</si>
  <si>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</si>
  <si>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</si>
  <si>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</si>
  <si>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</si>
  <si>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</si>
  <si>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</si>
  <si>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</si>
  <si>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</si>
  <si>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</si>
  <si>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</si>
  <si>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</si>
  <si>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</si>
  <si>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</si>
  <si>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</si>
  <si>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</si>
  <si>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</si>
  <si>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</si>
  <si>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</si>
  <si>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</si>
  <si>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</si>
  <si>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</si>
  <si>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</si>
  <si>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</si>
  <si>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</si>
  <si>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</si>
  <si>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</si>
  <si>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</si>
  <si>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</si>
  <si>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</si>
  <si>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</si>
  <si>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</si>
  <si>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</si>
  <si>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</si>
  <si>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</si>
  <si>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</si>
  <si>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</si>
  <si>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</si>
  <si>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</si>
  <si>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</si>
  <si>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</si>
  <si>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</si>
  <si>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</si>
  <si>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</si>
  <si>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</si>
  <si>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</si>
  <si>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</si>
  <si>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</si>
  <si>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</si>
  <si>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</si>
  <si>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</si>
  <si>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</si>
  <si>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</si>
  <si>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</si>
  <si>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</si>
  <si>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</si>
  <si>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</si>
  <si>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</si>
  <si>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</si>
  <si>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</si>
  <si>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</si>
  <si>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</si>
  <si>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</si>
  <si>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</si>
  <si>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</si>
  <si>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</si>
  <si>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</si>
  <si>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</si>
  <si>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</si>
  <si>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</si>
  <si>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</si>
  <si>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</si>
  <si>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</si>
  <si>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</si>
  <si>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</si>
  <si>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</si>
  <si>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</si>
  <si>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</si>
  <si>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</si>
  <si>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</si>
  <si>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</si>
  <si>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</si>
  <si>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</si>
  <si>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</si>
  <si>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</si>
  <si>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</si>
  <si>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</si>
  <si>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</si>
  <si>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</si>
  <si>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</si>
  <si>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</si>
  <si>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</si>
  <si>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</si>
  <si>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</si>
  <si>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</si>
  <si>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</si>
  <si>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</si>
  <si>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</si>
  <si>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</si>
  <si>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</si>
  <si>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</si>
  <si>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</si>
  <si>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</si>
  <si>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</si>
  <si>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</si>
  <si>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</si>
  <si>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</si>
  <si>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</si>
  <si>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</si>
  <si>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</si>
  <si>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</si>
  <si>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</si>
  <si>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</si>
  <si>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</si>
  <si>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</si>
  <si>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</si>
  <si>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</si>
  <si>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</si>
  <si>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</si>
  <si>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</si>
  <si>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</si>
  <si>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</si>
  <si>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</si>
  <si>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</si>
  <si>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</si>
  <si>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</si>
  <si>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</si>
  <si>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</si>
  <si>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</si>
  <si>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</si>
  <si>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</si>
  <si>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</si>
  <si>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</si>
  <si>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</si>
  <si>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</si>
  <si>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</si>
  <si>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</si>
  <si>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</si>
  <si>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</si>
  <si>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</si>
  <si>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</si>
  <si>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</si>
  <si>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</si>
  <si>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</si>
  <si>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</si>
  <si>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</si>
  <si>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</si>
  <si>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</si>
  <si>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</si>
  <si>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</si>
  <si>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</si>
  <si>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</si>
  <si>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</si>
  <si>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</si>
  <si>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</si>
  <si>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</si>
  <si>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</si>
  <si>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</si>
  <si>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</si>
  <si>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</si>
  <si>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</si>
  <si>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</si>
  <si>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</si>
  <si>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</si>
  <si>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</si>
  <si>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</si>
  <si>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</si>
  <si>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</si>
  <si>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</si>
  <si>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</si>
  <si>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</si>
  <si>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</si>
  <si>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</si>
  <si>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</si>
  <si>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</si>
  <si>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</si>
  <si>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</si>
  <si>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</si>
  <si>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</si>
  <si>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</si>
  <si>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</si>
  <si>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</si>
  <si>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</si>
  <si>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</si>
  <si>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</si>
  <si>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</si>
  <si>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</si>
  <si>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</si>
  <si>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</si>
  <si>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</si>
  <si>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</si>
  <si>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</si>
  <si>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</si>
  <si>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</si>
  <si>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</si>
  <si>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</si>
  <si>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</si>
  <si>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</si>
  <si>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</si>
  <si>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</si>
  <si>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</si>
  <si>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</si>
  <si>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</si>
  <si>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</si>
  <si>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</si>
  <si>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</si>
  <si>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</si>
  <si>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</si>
  <si>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</si>
  <si>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</si>
  <si>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</si>
  <si>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</si>
  <si>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</si>
  <si>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</si>
  <si>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</si>
  <si>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</si>
  <si>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</si>
  <si>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</si>
  <si>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</si>
  <si>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</si>
  <si>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</si>
  <si>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</si>
  <si>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</si>
  <si>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</si>
  <si>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</si>
  <si>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</si>
  <si>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</si>
  <si>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</si>
  <si>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</si>
  <si>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</si>
  <si>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</si>
  <si>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</si>
  <si>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</si>
  <si>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</si>
  <si>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</si>
  <si>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</si>
  <si>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</si>
  <si>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</si>
  <si>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</si>
  <si>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</si>
  <si>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</si>
  <si>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</si>
  <si>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</si>
  <si>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</si>
  <si>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</si>
  <si>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</si>
  <si>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</si>
  <si>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</si>
  <si>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</si>
  <si>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</si>
  <si>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</si>
  <si>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</si>
  <si>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</si>
  <si>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</si>
  <si>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</si>
  <si>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</si>
  <si>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</si>
  <si>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</si>
  <si>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</si>
  <si>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</si>
  <si>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</si>
  <si>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</si>
  <si>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</si>
  <si>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</si>
  <si>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</si>
  <si>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</si>
  <si>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</si>
  <si>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</si>
  <si>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</si>
  <si>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</si>
  <si>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</si>
  <si>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</si>
  <si>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</si>
  <si>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</si>
  <si>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</si>
  <si>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</si>
  <si>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</si>
  <si>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</si>
  <si>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</si>
  <si>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</si>
  <si>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</si>
  <si>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</si>
  <si>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</si>
  <si>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</si>
  <si>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</si>
  <si>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</si>
  <si>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</si>
  <si>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</si>
  <si>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</si>
  <si>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</si>
  <si>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</si>
  <si>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</si>
  <si>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</si>
  <si>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</si>
  <si>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</si>
  <si>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</si>
  <si>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</si>
  <si>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</si>
  <si>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</si>
  <si>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</si>
  <si>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</si>
  <si>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</si>
  <si>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</si>
  <si>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</si>
  <si>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</si>
  <si>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</si>
  <si>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</si>
  <si>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</si>
  <si>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</si>
  <si>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</si>
  <si>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</si>
  <si>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</si>
  <si>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</si>
  <si>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</si>
  <si>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</si>
  <si>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</si>
  <si>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</si>
  <si>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</si>
  <si>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</si>
  <si>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</si>
  <si>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</si>
  <si>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</si>
  <si>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</si>
  <si>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</si>
  <si>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</si>
  <si>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</si>
  <si>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</si>
  <si>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</si>
  <si>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</si>
  <si>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</si>
  <si>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</si>
  <si>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</si>
  <si>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</si>
  <si>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</si>
  <si>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</si>
  <si>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</si>
  <si>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</si>
  <si>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</si>
  <si>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</si>
  <si>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</si>
  <si>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</si>
  <si>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</si>
  <si>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</si>
  <si>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</si>
  <si>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</si>
  <si>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</si>
  <si>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</si>
  <si>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</si>
  <si>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</si>
  <si>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</si>
  <si>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</si>
  <si>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</si>
  <si>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</si>
  <si>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</si>
  <si>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</si>
  <si>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</si>
  <si>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</si>
  <si>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</si>
  <si>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</si>
  <si>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</si>
  <si>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</si>
  <si>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</si>
  <si>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</si>
  <si>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</si>
  <si>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</si>
  <si>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</si>
  <si>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</si>
  <si>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</si>
  <si>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</si>
  <si>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</si>
  <si>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</si>
  <si>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</si>
  <si>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</si>
  <si>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</si>
  <si>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</si>
  <si>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</si>
  <si>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</si>
  <si>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</si>
  <si>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</si>
  <si>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</si>
  <si>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</si>
  <si>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</si>
  <si>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</si>
  <si>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</si>
  <si>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</si>
  <si>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</si>
  <si>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</si>
  <si>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</si>
  <si>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</si>
  <si>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</si>
  <si>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</si>
  <si>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</si>
  <si>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</si>
  <si>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</si>
  <si>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</si>
  <si>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</si>
  <si>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</si>
  <si>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</si>
  <si>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</si>
  <si>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</si>
  <si>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</si>
  <si>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</si>
  <si>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</si>
  <si>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</si>
  <si>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</si>
  <si>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</si>
  <si>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</si>
  <si>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</si>
  <si>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</si>
  <si>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</si>
  <si>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</si>
  <si>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</si>
  <si>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</si>
  <si>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</si>
  <si>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</si>
  <si>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</si>
  <si>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</si>
  <si>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</si>
  <si>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</si>
  <si>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</si>
  <si>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</si>
  <si>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</si>
  <si>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</si>
  <si>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</si>
  <si>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</si>
  <si>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</si>
  <si>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</si>
  <si>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</si>
  <si>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</si>
  <si>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</si>
  <si>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</si>
  <si>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</si>
  <si>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</si>
  <si>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</si>
  <si>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</si>
  <si>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</si>
  <si>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</si>
  <si>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</si>
  <si>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</si>
  <si>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</si>
  <si>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</si>
  <si>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</si>
  <si>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</si>
  <si>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</si>
  <si>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</si>
  <si>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</si>
  <si>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</si>
  <si>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</si>
  <si>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</si>
  <si>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</si>
  <si>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</si>
  <si>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</si>
  <si>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</si>
  <si>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</si>
  <si>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</si>
  <si>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</si>
  <si>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</si>
  <si>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</si>
  <si>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</si>
  <si>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</si>
  <si>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</si>
  <si>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</si>
  <si>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</si>
  <si>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</si>
  <si>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</si>
  <si>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</si>
  <si>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</si>
  <si>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</si>
  <si>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</si>
  <si>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</si>
  <si>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</si>
  <si>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</si>
  <si>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</si>
  <si>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</si>
  <si>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</si>
  <si>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</si>
  <si>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</si>
  <si>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</si>
  <si>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</si>
  <si>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</si>
  <si>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</si>
  <si>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</si>
  <si>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</si>
  <si>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</si>
  <si>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</si>
  <si>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</si>
  <si>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</si>
  <si>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</si>
  <si>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</si>
  <si>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</si>
  <si>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</si>
  <si>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</si>
  <si>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</si>
  <si>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</si>
  <si>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</si>
  <si>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</si>
  <si>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</si>
  <si>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</si>
  <si>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</si>
  <si>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</si>
  <si>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</si>
  <si>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</si>
  <si>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</si>
  <si>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</si>
  <si>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</si>
  <si>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</si>
  <si>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</si>
  <si>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</si>
  <si>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</si>
  <si>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</si>
  <si>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</si>
  <si>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</si>
  <si>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</si>
  <si>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</si>
  <si>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</si>
  <si>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</si>
  <si>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</si>
  <si>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</si>
  <si>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</si>
  <si>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</si>
  <si>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</si>
  <si>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</si>
  <si>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</si>
  <si>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</si>
  <si>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</si>
  <si>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</si>
  <si>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</si>
  <si>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</si>
  <si>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</si>
  <si>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</si>
  <si>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</si>
  <si>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</si>
  <si>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</si>
  <si>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</si>
  <si>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</si>
  <si>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</si>
  <si>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</si>
  <si>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</si>
  <si>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</si>
  <si>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</si>
  <si>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</si>
  <si>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</si>
  <si>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</si>
  <si>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</si>
  <si>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</si>
  <si>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</si>
  <si>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</si>
  <si>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</si>
  <si>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</si>
  <si>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</si>
  <si>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</si>
  <si>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</si>
  <si>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</si>
  <si>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</si>
  <si>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</si>
  <si>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</si>
  <si>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</si>
  <si>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</si>
  <si>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</si>
  <si>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</si>
  <si>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</si>
  <si>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</si>
  <si>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</si>
  <si>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</si>
  <si>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</si>
  <si>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</si>
  <si>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</si>
  <si>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</si>
  <si>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</si>
  <si>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</si>
  <si>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</si>
  <si>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</si>
  <si>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</si>
  <si>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</si>
  <si>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</si>
  <si>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</si>
  <si>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</si>
  <si>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</si>
  <si>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</si>
  <si>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</si>
  <si>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</si>
  <si>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</si>
  <si>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</si>
  <si>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</si>
  <si>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</si>
  <si>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</si>
  <si>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</si>
  <si>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</si>
  <si>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</si>
  <si>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</si>
  <si>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</si>
  <si>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</si>
  <si>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</si>
  <si>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</si>
  <si>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</si>
  <si>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</si>
  <si>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</si>
  <si>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</si>
  <si>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</si>
  <si>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</si>
  <si>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</si>
  <si>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</si>
  <si>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</si>
  <si>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</si>
  <si>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</si>
  <si>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</si>
  <si>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</si>
  <si>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</si>
  <si>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</si>
  <si>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</si>
  <si>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</si>
  <si>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</si>
  <si>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</si>
  <si>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</si>
  <si>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</si>
  <si>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</si>
  <si>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</si>
  <si>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</si>
  <si>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</si>
  <si>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</si>
  <si>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</si>
  <si>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</si>
  <si>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</si>
  <si>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</si>
  <si>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</si>
  <si>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</si>
  <si>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</si>
  <si>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</si>
  <si>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</si>
  <si>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</si>
  <si>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</si>
  <si>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</si>
  <si>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</si>
  <si>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</si>
  <si>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</si>
  <si>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</si>
  <si>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</si>
  <si>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</si>
  <si>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</si>
  <si>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</si>
  <si>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</si>
  <si>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</si>
  <si>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</si>
  <si>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</si>
  <si>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</si>
  <si>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</si>
  <si>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</si>
  <si>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</si>
  <si>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</si>
  <si>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</si>
  <si>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</si>
  <si>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</si>
  <si>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</si>
  <si>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</si>
  <si>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</si>
  <si>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</si>
  <si>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</si>
  <si>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</si>
  <si>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</si>
  <si>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</si>
  <si>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</si>
  <si>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</si>
  <si>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</si>
  <si>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</si>
  <si>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</si>
  <si>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</si>
  <si>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</si>
  <si>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</si>
  <si>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</si>
  <si>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</si>
  <si>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</si>
  <si>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</si>
  <si>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</si>
  <si>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</si>
  <si>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</si>
  <si>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</si>
  <si>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</si>
  <si>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</si>
  <si>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</si>
  <si>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</si>
  <si>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</si>
  <si>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</si>
  <si>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</si>
  <si>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</si>
  <si>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</si>
  <si>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</si>
  <si>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</si>
  <si>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</si>
  <si>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</si>
  <si>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</si>
  <si>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</si>
  <si>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</si>
  <si>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</si>
  <si>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</si>
  <si>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</si>
  <si>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</si>
  <si>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</si>
  <si>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</si>
  <si>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</si>
  <si>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</si>
  <si>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</si>
  <si>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</si>
  <si>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</si>
  <si>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</si>
  <si>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</si>
  <si>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</si>
  <si>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</si>
  <si>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</si>
  <si>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</si>
  <si>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</si>
  <si>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</si>
  <si>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</si>
  <si>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</si>
  <si>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</si>
  <si>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</si>
  <si>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</si>
  <si>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</si>
  <si>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</si>
  <si>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</si>
  <si>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</si>
  <si>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</si>
  <si>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</si>
  <si>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</si>
  <si>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</si>
  <si>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</si>
  <si>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</si>
  <si>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</si>
  <si>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</si>
  <si>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</si>
  <si>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</si>
  <si>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</si>
  <si>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</si>
  <si>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</si>
  <si>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</si>
  <si>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</si>
  <si>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</si>
  <si>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</si>
  <si>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</si>
  <si>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</si>
  <si>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</si>
  <si>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</si>
  <si>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</si>
  <si>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</si>
  <si>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</si>
  <si>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</si>
  <si>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</si>
  <si>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</si>
  <si>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</si>
  <si>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</si>
  <si>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</si>
  <si>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</si>
  <si>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</si>
  <si>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</si>
  <si>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</si>
  <si>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</si>
  <si>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</si>
  <si>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</si>
  <si>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</si>
  <si>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</si>
  <si>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</si>
  <si>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</si>
  <si>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</si>
  <si>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</si>
  <si>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</si>
  <si>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</si>
  <si>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</si>
  <si>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</si>
  <si>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</si>
  <si>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</si>
  <si>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</si>
  <si>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</si>
  <si>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</si>
  <si>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</si>
  <si>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</si>
  <si>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</si>
  <si>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</si>
  <si>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</si>
  <si>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</si>
  <si>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</si>
  <si>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</si>
  <si>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</si>
  <si>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</si>
  <si>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</si>
  <si>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</si>
  <si>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</si>
  <si>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</si>
  <si>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</si>
  <si>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</si>
  <si>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</si>
  <si>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</si>
  <si>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</si>
  <si>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</si>
  <si>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</si>
  <si>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</si>
  <si>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</si>
  <si>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</si>
  <si>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</si>
  <si>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</si>
  <si>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</si>
  <si>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</si>
  <si>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</si>
  <si>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</si>
  <si>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</si>
  <si>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</si>
  <si>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</si>
  <si>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</si>
  <si>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</si>
  <si>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</si>
  <si>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</si>
  <si>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</si>
  <si>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</si>
  <si>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</si>
  <si>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</si>
  <si>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</si>
  <si>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</si>
  <si>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</si>
  <si>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</si>
  <si>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</si>
  <si>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</si>
  <si>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</si>
  <si>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</si>
  <si>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</si>
  <si>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</si>
  <si>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</si>
  <si>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</si>
  <si>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</si>
  <si>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</si>
  <si>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</si>
  <si>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</si>
  <si>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</si>
  <si>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</si>
  <si>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</si>
  <si>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</si>
  <si>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</si>
  <si>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</si>
  <si>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</si>
  <si>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</si>
  <si>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</si>
  <si>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</si>
  <si>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</si>
  <si>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</si>
  <si>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</si>
  <si>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</si>
  <si>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</si>
  <si>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</si>
  <si>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</si>
  <si>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</si>
  <si>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</si>
  <si>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</si>
  <si>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</si>
  <si>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</si>
  <si>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</si>
  <si>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</si>
  <si>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</si>
  <si>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</si>
  <si>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</si>
  <si>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</si>
  <si>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</si>
  <si>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</si>
  <si>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</si>
  <si>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</si>
  <si>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</si>
  <si>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</si>
  <si>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</si>
  <si>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</si>
  <si>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</si>
  <si>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</si>
  <si>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</si>
  <si>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</si>
  <si>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</si>
  <si>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</si>
  <si>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</si>
  <si>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</si>
  <si>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</si>
  <si>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</si>
  <si>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</si>
  <si>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</si>
  <si>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</si>
  <si>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</si>
  <si>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</si>
  <si>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</si>
  <si>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</si>
  <si>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</si>
  <si>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</si>
  <si>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</si>
  <si>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</si>
  <si>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</si>
  <si>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</si>
  <si>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</si>
  <si>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</si>
  <si>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</si>
  <si>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</si>
  <si>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</si>
  <si>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</si>
  <si>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</si>
  <si>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</si>
  <si>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</si>
  <si>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</si>
  <si>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</si>
  <si>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</si>
  <si>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</si>
  <si>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</si>
  <si>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</si>
  <si>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</si>
  <si>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</si>
  <si>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</si>
  <si>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</si>
  <si>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</si>
  <si>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</si>
  <si>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</si>
  <si>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</si>
  <si>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</si>
  <si>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</si>
  <si>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</si>
  <si>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</si>
  <si>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</si>
  <si>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</si>
  <si>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</si>
  <si>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</si>
  <si>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</si>
  <si>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</si>
  <si>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</si>
  <si>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</si>
  <si>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</si>
  <si>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</si>
  <si>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</si>
  <si>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</si>
  <si>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</si>
  <si>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</si>
  <si>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</si>
  <si>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</si>
  <si>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</si>
  <si>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</si>
  <si>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</si>
  <si>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</si>
  <si>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</si>
  <si>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</si>
  <si>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</si>
  <si>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</si>
  <si>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</si>
  <si>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</si>
  <si>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</si>
  <si>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</si>
  <si>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</si>
  <si>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</si>
  <si>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</si>
  <si>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</si>
  <si>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</si>
  <si>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</si>
  <si>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</si>
  <si>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</si>
  <si>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</si>
  <si>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</si>
  <si>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</si>
  <si>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</si>
  <si>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</si>
  <si>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</si>
  <si>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</si>
  <si>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</si>
  <si>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</si>
  <si>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</si>
  <si>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</si>
  <si>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</si>
  <si>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</si>
  <si>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</si>
  <si>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</si>
  <si>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</si>
  <si>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</si>
  <si>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</si>
  <si>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</si>
  <si>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</si>
  <si>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</si>
  <si>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</si>
  <si>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</si>
  <si>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</si>
  <si>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</si>
  <si>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</si>
  <si>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</si>
  <si>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</si>
  <si>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</si>
  <si>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</si>
  <si>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</si>
  <si>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</si>
  <si>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</si>
  <si>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</si>
  <si>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</si>
  <si>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</si>
  <si>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</si>
  <si>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</si>
  <si>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</si>
  <si>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</si>
  <si>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</si>
  <si>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</si>
  <si>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</si>
  <si>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</si>
  <si>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</si>
  <si>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</si>
  <si>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</si>
  <si>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</si>
  <si>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</si>
  <si>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</si>
  <si>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</si>
  <si>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</si>
  <si>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</si>
  <si>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</si>
  <si>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</si>
  <si>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</si>
  <si>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</si>
  <si>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</si>
  <si>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</si>
  <si>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</si>
  <si>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</si>
  <si>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</si>
  <si>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</si>
  <si>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</si>
  <si>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</si>
  <si>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</si>
  <si>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</si>
  <si>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</si>
  <si>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</si>
  <si>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</si>
  <si>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</si>
  <si>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</si>
  <si>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</si>
  <si>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</si>
  <si>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</si>
  <si>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</si>
  <si>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</si>
  <si>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</si>
  <si>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</si>
  <si>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</si>
  <si>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</si>
  <si>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</si>
  <si>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</si>
  <si>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</si>
  <si>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</si>
  <si>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</si>
  <si>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</si>
  <si>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</si>
  <si>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</si>
  <si>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</si>
  <si>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</si>
  <si>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</si>
  <si>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</si>
  <si>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</si>
  <si>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</si>
  <si>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</si>
  <si>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</si>
  <si>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</si>
  <si>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</si>
  <si>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</si>
  <si>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</si>
  <si>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</si>
  <si>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</si>
  <si>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</si>
  <si>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</si>
  <si>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</si>
  <si>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</si>
  <si>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</si>
  <si>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</si>
  <si>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</si>
  <si>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</si>
  <si>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</si>
  <si>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</si>
  <si>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</si>
  <si>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</si>
  <si>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</si>
  <si>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</si>
  <si>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</si>
  <si>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</si>
  <si>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</si>
  <si>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</si>
  <si>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</si>
  <si>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</si>
  <si>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</si>
  <si>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</si>
  <si>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</si>
  <si>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</si>
  <si>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</si>
  <si>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</si>
  <si>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</si>
  <si>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</si>
  <si>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</si>
  <si>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</si>
  <si>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</si>
  <si>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</si>
  <si>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</si>
  <si>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</si>
  <si>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</si>
  <si>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</si>
  <si>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</si>
  <si>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</si>
  <si>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</si>
  <si>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</si>
  <si>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</si>
  <si>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</si>
  <si>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</si>
  <si>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</si>
  <si>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</si>
  <si>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</si>
  <si>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</si>
  <si>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</si>
  <si>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</si>
  <si>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</si>
  <si>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</si>
  <si>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</si>
  <si>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</si>
  <si>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</si>
  <si>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</si>
  <si>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</si>
  <si>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</si>
  <si>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</si>
  <si>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</si>
  <si>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</si>
  <si>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</si>
  <si>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</si>
  <si>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</si>
  <si>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</si>
  <si>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</si>
  <si>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</si>
  <si>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</si>
  <si>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</si>
  <si>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</si>
  <si>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</si>
  <si>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</si>
  <si>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</si>
  <si>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</si>
  <si>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</si>
  <si>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</si>
  <si>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</si>
  <si>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</si>
  <si>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</si>
  <si>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</si>
  <si>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</si>
  <si>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</si>
  <si>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</si>
  <si>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</si>
  <si>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</si>
  <si>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</si>
  <si>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</si>
  <si>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</si>
  <si>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</si>
  <si>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</si>
  <si>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</si>
  <si>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</si>
  <si>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</si>
  <si>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</si>
  <si>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</si>
  <si>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</si>
  <si>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</si>
  <si>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</si>
  <si>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</si>
  <si>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</si>
  <si>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</si>
  <si>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</si>
  <si>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</si>
  <si>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</si>
  <si>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</si>
  <si>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</si>
  <si>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</si>
  <si>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</si>
  <si>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</si>
  <si>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</si>
  <si>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</si>
  <si>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</si>
  <si>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</si>
  <si>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</si>
  <si>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</si>
  <si>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</si>
  <si>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</si>
  <si>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</si>
  <si>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</si>
  <si>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</si>
  <si>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</si>
  <si>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</si>
  <si>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</si>
  <si>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</si>
  <si>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</si>
  <si>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</si>
  <si>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</si>
  <si>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</si>
  <si>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</si>
  <si>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</si>
  <si>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</si>
  <si>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</si>
  <si>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</si>
  <si>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</si>
  <si>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</si>
  <si>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</si>
  <si>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</si>
  <si>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</si>
  <si>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</si>
  <si>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</si>
  <si>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</si>
  <si>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</si>
  <si>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</si>
  <si>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</si>
  <si>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</si>
  <si>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</si>
  <si>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</si>
  <si>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</si>
  <si>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</si>
  <si>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</si>
  <si>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</si>
  <si>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</si>
  <si>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</si>
  <si>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</si>
  <si>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</si>
  <si>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</si>
  <si>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</si>
  <si>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</si>
  <si>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</si>
  <si>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</si>
  <si>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</si>
  <si>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</si>
  <si>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</si>
  <si>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</si>
  <si>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</si>
  <si>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</si>
  <si>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</si>
  <si>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</si>
  <si>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</si>
  <si>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</si>
  <si>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</si>
  <si>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</si>
  <si>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</si>
  <si>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</si>
  <si>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</si>
  <si>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</si>
  <si>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</si>
  <si>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</si>
  <si>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</si>
  <si>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</si>
  <si>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</si>
  <si>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</si>
  <si>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</si>
  <si>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</si>
  <si>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</si>
  <si>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</si>
  <si>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</si>
  <si>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</si>
  <si>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</si>
  <si>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</si>
  <si>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</si>
  <si>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</si>
  <si>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</si>
  <si>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</si>
  <si>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</si>
  <si>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</si>
  <si>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</si>
  <si>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</si>
  <si>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</si>
  <si>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</si>
  <si>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</si>
  <si>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</si>
  <si>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100%</t>
  </si>
  <si>
    <t>https://www.anglia-live.com/Suppliers/SuppliersDocs.aspx?type=Conflict%20Minerals</t>
  </si>
  <si>
    <t>Claire Stevenson</t>
  </si>
  <si>
    <t>claire.stevenson@anglia.com</t>
  </si>
  <si>
    <t>01945 473518</t>
  </si>
  <si>
    <t>Quality Manager</t>
  </si>
  <si>
    <t>HUDSON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</si>
</sst>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2380071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1812116</xdr:colOff>
      <xdr:row>2</xdr:row>
      <xdr:rowOff>972300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anglia-live.com/Suppliers/SuppliersDocs.aspx?type=Conflict%20Minerals"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mailto:claire.stevenson@anglia.com" TargetMode="External"/><Relationship Id="rId4" Type="http://schemas.openxmlformats.org/officeDocument/2006/relationships/hyperlink" Target="mailto:claire.stevenson@anglia.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81640625" customWidth="1"/>
    <col min="2" max="2" width="8" customWidth="1"/>
    <col min="3" max="3" width="8.6328125" customWidth="1"/>
    <col min="4" max="4" width="13" style="164" customWidth="1"/>
    <col min="5" max="5" width="42.36328125" customWidth="1"/>
    <col min="6" max="6" width="53.36328125" customWidth="1"/>
    <col min="7" max="7" width="0.81640625" customWidth="1"/>
  </cols>
  <sheetData>
    <row r="1" spans="1:7" ht="13.2" thickTop="1">
      <c r="A1" s="6"/>
      <c r="B1" s="7"/>
      <c r="C1" s="7"/>
      <c r="D1" s="158"/>
      <c r="E1" s="7"/>
      <c r="F1" s="7"/>
      <c r="G1" s="8"/>
    </row>
    <row r="2" spans="1:7">
      <c r="A2" s="361"/>
      <c r="B2" s="4" t="s">
        <v>807</v>
      </c>
      <c r="C2" s="2"/>
      <c r="D2" s="159"/>
      <c r="E2" s="2"/>
      <c r="F2" s="2"/>
      <c r="G2" s="24"/>
    </row>
    <row r="3" spans="1:7">
      <c r="A3" s="361"/>
      <c r="B3" s="2" t="s">
        <v>800</v>
      </c>
      <c r="C3" s="4"/>
      <c r="D3" s="160"/>
      <c r="E3" s="2"/>
      <c r="F3" s="4"/>
      <c r="G3" s="24"/>
    </row>
    <row r="4" spans="1:7" ht="15">
      <c r="A4" s="361"/>
      <c r="B4" s="27" t="s">
        <v>809</v>
      </c>
      <c r="C4" s="5"/>
      <c r="D4" s="161"/>
      <c r="E4" s="2"/>
      <c r="F4" s="5"/>
      <c r="G4" s="24"/>
    </row>
    <row r="5" spans="1:7" ht="13.2">
      <c r="A5" s="361"/>
      <c r="B5" s="26" t="s">
        <v>998</v>
      </c>
      <c r="C5" s="3"/>
      <c r="D5" s="162"/>
      <c r="E5" s="2"/>
      <c r="F5" s="3"/>
      <c r="G5" s="24"/>
    </row>
    <row r="6" spans="1:7">
      <c r="A6" s="361"/>
      <c r="B6" s="2"/>
      <c r="C6" s="2"/>
      <c r="D6" s="159"/>
      <c r="E6" s="2"/>
      <c r="F6" s="2"/>
      <c r="G6" s="24"/>
    </row>
    <row r="7" spans="1:7">
      <c r="A7" s="361"/>
      <c r="B7" s="2"/>
      <c r="C7" s="2"/>
      <c r="D7" s="159"/>
      <c r="E7" s="2"/>
      <c r="F7" s="2"/>
      <c r="G7" s="24"/>
    </row>
    <row r="8" spans="1:7">
      <c r="A8" s="361"/>
      <c r="B8" s="2"/>
      <c r="C8" s="2"/>
      <c r="D8" s="159"/>
      <c r="E8" s="2"/>
      <c r="F8" s="2"/>
      <c r="G8" s="24"/>
    </row>
    <row r="9" spans="1:7">
      <c r="A9" s="361"/>
      <c r="B9" s="364" t="s">
        <v>810</v>
      </c>
      <c r="C9" s="364"/>
      <c r="D9" s="364"/>
      <c r="E9" s="364"/>
      <c r="F9" s="364"/>
      <c r="G9" s="24"/>
    </row>
    <row r="10" spans="1:7" ht="27" customHeight="1">
      <c r="A10" s="361"/>
      <c r="B10" s="365" t="s">
        <v>423</v>
      </c>
      <c r="C10" s="365"/>
      <c r="D10" s="365"/>
      <c r="E10" s="365"/>
      <c r="F10" s="365"/>
      <c r="G10" s="24"/>
    </row>
    <row r="11" spans="1:7" ht="27" customHeight="1">
      <c r="A11" s="361"/>
      <c r="B11" s="366"/>
      <c r="C11" s="366"/>
      <c r="D11" s="366"/>
      <c r="E11" s="366"/>
      <c r="F11" s="366"/>
      <c r="G11" s="24"/>
    </row>
    <row r="12" spans="1:7">
      <c r="A12" s="361"/>
      <c r="B12" s="28" t="s">
        <v>808</v>
      </c>
      <c r="C12" s="29" t="s">
        <v>811</v>
      </c>
      <c r="D12" s="163" t="s">
        <v>812</v>
      </c>
      <c r="E12" s="29" t="s">
        <v>593</v>
      </c>
      <c r="F12" s="29" t="s">
        <v>594</v>
      </c>
      <c r="G12" s="24"/>
    </row>
    <row r="13" spans="1:7" ht="34.200000000000003">
      <c r="A13" s="361"/>
      <c r="B13" s="275">
        <v>1</v>
      </c>
      <c r="C13" s="276" t="s">
        <v>1046</v>
      </c>
      <c r="D13" s="277" t="s">
        <v>836</v>
      </c>
      <c r="E13" s="278" t="s">
        <v>813</v>
      </c>
      <c r="F13" s="278"/>
      <c r="G13" s="24"/>
    </row>
    <row r="14" spans="1:7" ht="45.6">
      <c r="A14" s="361"/>
      <c r="B14" s="275">
        <v>2</v>
      </c>
      <c r="C14" s="276" t="s">
        <v>1046</v>
      </c>
      <c r="D14" s="277" t="s">
        <v>983</v>
      </c>
      <c r="E14" s="278" t="s">
        <v>513</v>
      </c>
      <c r="F14" s="278" t="s">
        <v>514</v>
      </c>
      <c r="G14" s="24"/>
    </row>
    <row r="15" spans="1:7" ht="89.1" customHeight="1">
      <c r="A15" s="361"/>
      <c r="B15" s="367">
        <v>2.0099999999999998</v>
      </c>
      <c r="C15" s="358" t="s">
        <v>1046</v>
      </c>
      <c r="D15" s="370" t="s">
        <v>2150</v>
      </c>
      <c r="E15" s="279" t="s">
        <v>595</v>
      </c>
      <c r="F15" s="279" t="s">
        <v>598</v>
      </c>
      <c r="G15" s="24"/>
    </row>
    <row r="16" spans="1:7" ht="99" customHeight="1">
      <c r="A16" s="361"/>
      <c r="B16" s="368"/>
      <c r="C16" s="359"/>
      <c r="D16" s="371"/>
      <c r="E16" s="280"/>
      <c r="F16" s="280" t="s">
        <v>596</v>
      </c>
      <c r="G16" s="24"/>
    </row>
    <row r="17" spans="1:7" ht="63" customHeight="1">
      <c r="A17" s="361"/>
      <c r="B17" s="369"/>
      <c r="C17" s="360"/>
      <c r="D17" s="372"/>
      <c r="E17" s="276"/>
      <c r="F17" s="276" t="s">
        <v>597</v>
      </c>
      <c r="G17" s="24"/>
    </row>
    <row r="18" spans="1:7" ht="117" customHeight="1">
      <c r="A18" s="361"/>
      <c r="B18" s="367">
        <v>2.02</v>
      </c>
      <c r="C18" s="358" t="s">
        <v>1046</v>
      </c>
      <c r="D18" s="370" t="s">
        <v>2151</v>
      </c>
      <c r="E18" s="279" t="s">
        <v>424</v>
      </c>
      <c r="F18" s="279" t="s">
        <v>508</v>
      </c>
      <c r="G18" s="24"/>
    </row>
    <row r="19" spans="1:7" ht="71.099999999999994" customHeight="1">
      <c r="A19" s="361"/>
      <c r="B19" s="368"/>
      <c r="C19" s="359"/>
      <c r="D19" s="371"/>
      <c r="E19" s="280" t="s">
        <v>512</v>
      </c>
      <c r="F19" s="280" t="s">
        <v>425</v>
      </c>
      <c r="G19" s="24"/>
    </row>
    <row r="20" spans="1:7" ht="90.75" customHeight="1">
      <c r="A20" s="361"/>
      <c r="B20" s="368"/>
      <c r="C20" s="359"/>
      <c r="D20" s="371"/>
      <c r="E20" s="280"/>
      <c r="F20" s="280" t="s">
        <v>600</v>
      </c>
      <c r="G20" s="24"/>
    </row>
    <row r="21" spans="1:7" ht="74.25" customHeight="1">
      <c r="A21" s="361"/>
      <c r="B21" s="369"/>
      <c r="C21" s="360"/>
      <c r="D21" s="372"/>
      <c r="E21" s="276"/>
      <c r="F21" s="276" t="s">
        <v>599</v>
      </c>
      <c r="G21" s="24"/>
    </row>
    <row r="22" spans="1:7" ht="90" customHeight="1">
      <c r="A22" s="361"/>
      <c r="B22" s="376">
        <v>2.0299999999999998</v>
      </c>
      <c r="C22" s="376" t="s">
        <v>783</v>
      </c>
      <c r="D22" s="379" t="s">
        <v>2152</v>
      </c>
      <c r="E22" s="358" t="s">
        <v>422</v>
      </c>
      <c r="F22" s="279" t="s">
        <v>445</v>
      </c>
      <c r="G22" s="24"/>
    </row>
    <row r="23" spans="1:7" ht="109.5" customHeight="1">
      <c r="A23" s="361"/>
      <c r="B23" s="377"/>
      <c r="C23" s="377"/>
      <c r="D23" s="380"/>
      <c r="E23" s="359"/>
      <c r="F23" s="280" t="s">
        <v>784</v>
      </c>
      <c r="G23" s="24"/>
    </row>
    <row r="24" spans="1:7" ht="74.25" customHeight="1">
      <c r="A24" s="361"/>
      <c r="B24" s="378"/>
      <c r="C24" s="378"/>
      <c r="D24" s="381"/>
      <c r="E24" s="360"/>
      <c r="F24" s="276" t="s">
        <v>421</v>
      </c>
      <c r="G24" s="24"/>
    </row>
    <row r="25" spans="1:7" ht="72" customHeight="1">
      <c r="A25" s="361"/>
      <c r="B25" s="275" t="s">
        <v>443</v>
      </c>
      <c r="C25" s="276" t="s">
        <v>444</v>
      </c>
      <c r="D25" s="277" t="s">
        <v>2153</v>
      </c>
      <c r="E25" s="276" t="s">
        <v>2148</v>
      </c>
      <c r="F25" s="276" t="s">
        <v>446</v>
      </c>
      <c r="G25" s="24"/>
    </row>
    <row r="26" spans="1:7" ht="98.1" customHeight="1">
      <c r="A26" s="361"/>
      <c r="B26" s="373">
        <v>3</v>
      </c>
      <c r="C26" s="367" t="s">
        <v>66</v>
      </c>
      <c r="D26" s="370" t="s">
        <v>2154</v>
      </c>
      <c r="E26" s="358" t="s">
        <v>0</v>
      </c>
      <c r="F26" s="279" t="s">
        <v>60</v>
      </c>
      <c r="G26" s="24"/>
    </row>
    <row r="27" spans="1:7" ht="90" customHeight="1">
      <c r="A27" s="361"/>
      <c r="B27" s="374"/>
      <c r="C27" s="368"/>
      <c r="D27" s="371"/>
      <c r="E27" s="359"/>
      <c r="F27" s="280" t="s">
        <v>55</v>
      </c>
      <c r="G27" s="24"/>
    </row>
    <row r="28" spans="1:7" ht="19.350000000000001" customHeight="1">
      <c r="A28" s="361"/>
      <c r="B28" s="374"/>
      <c r="C28" s="368"/>
      <c r="D28" s="371"/>
      <c r="E28" s="359"/>
      <c r="F28" s="280" t="s">
        <v>56</v>
      </c>
      <c r="G28" s="24"/>
    </row>
    <row r="29" spans="1:7" ht="74.55" customHeight="1">
      <c r="A29" s="361"/>
      <c r="B29" s="374"/>
      <c r="C29" s="368"/>
      <c r="D29" s="371"/>
      <c r="E29" s="359"/>
      <c r="F29" s="280" t="s">
        <v>57</v>
      </c>
      <c r="G29" s="24"/>
    </row>
    <row r="30" spans="1:7" ht="62.55" customHeight="1">
      <c r="A30" s="361"/>
      <c r="B30" s="374"/>
      <c r="C30" s="368"/>
      <c r="D30" s="371"/>
      <c r="E30" s="359"/>
      <c r="F30" s="280" t="s">
        <v>58</v>
      </c>
      <c r="G30" s="24"/>
    </row>
    <row r="31" spans="1:7" ht="81" customHeight="1">
      <c r="A31" s="361"/>
      <c r="B31" s="374"/>
      <c r="C31" s="368"/>
      <c r="D31" s="371"/>
      <c r="E31" s="359"/>
      <c r="F31" s="280" t="s">
        <v>59</v>
      </c>
      <c r="G31" s="24"/>
    </row>
    <row r="32" spans="1:7" ht="48.75" customHeight="1">
      <c r="A32" s="361"/>
      <c r="B32" s="374"/>
      <c r="C32" s="368"/>
      <c r="D32" s="371"/>
      <c r="E32" s="359"/>
      <c r="F32" s="280" t="s">
        <v>62</v>
      </c>
      <c r="G32" s="24"/>
    </row>
    <row r="33" spans="1:7" ht="98.55" customHeight="1">
      <c r="A33" s="361"/>
      <c r="B33" s="374"/>
      <c r="C33" s="368"/>
      <c r="D33" s="371"/>
      <c r="E33" s="359"/>
      <c r="F33" s="280" t="s">
        <v>61</v>
      </c>
      <c r="G33" s="24"/>
    </row>
    <row r="34" spans="1:7" ht="89.1" customHeight="1">
      <c r="A34" s="361"/>
      <c r="B34" s="374"/>
      <c r="C34" s="368"/>
      <c r="D34" s="371"/>
      <c r="E34" s="359"/>
      <c r="F34" s="280" t="s">
        <v>63</v>
      </c>
      <c r="G34" s="24"/>
    </row>
    <row r="35" spans="1:7" ht="29.1" customHeight="1">
      <c r="A35" s="361"/>
      <c r="B35" s="374"/>
      <c r="C35" s="368"/>
      <c r="D35" s="371"/>
      <c r="E35" s="359"/>
      <c r="F35" s="280" t="s">
        <v>64</v>
      </c>
      <c r="G35" s="24"/>
    </row>
    <row r="36" spans="1:7" ht="136.80000000000001">
      <c r="A36" s="361"/>
      <c r="B36" s="375"/>
      <c r="C36" s="369"/>
      <c r="D36" s="372"/>
      <c r="E36" s="360"/>
      <c r="F36" s="282" t="s">
        <v>65</v>
      </c>
      <c r="G36" s="24"/>
    </row>
    <row r="37" spans="1:7" ht="136.80000000000001">
      <c r="A37" s="361"/>
      <c r="B37" s="281">
        <v>3.01</v>
      </c>
      <c r="C37" s="283" t="s">
        <v>66</v>
      </c>
      <c r="D37" s="277" t="s">
        <v>2155</v>
      </c>
      <c r="E37" s="284" t="s">
        <v>1282</v>
      </c>
      <c r="F37" s="285" t="s">
        <v>1384</v>
      </c>
      <c r="G37" s="24"/>
    </row>
    <row r="38" spans="1:7" ht="125.4">
      <c r="A38" s="361"/>
      <c r="B38" s="281">
        <v>3.02</v>
      </c>
      <c r="C38" s="283" t="s">
        <v>1314</v>
      </c>
      <c r="D38" s="277" t="s">
        <v>2156</v>
      </c>
      <c r="E38" s="284" t="s">
        <v>1329</v>
      </c>
      <c r="F38" s="285" t="s">
        <v>1385</v>
      </c>
      <c r="G38" s="24"/>
    </row>
    <row r="39" spans="1:7" ht="102.6">
      <c r="A39" s="361"/>
      <c r="B39" s="286">
        <v>4</v>
      </c>
      <c r="C39" s="287" t="s">
        <v>1480</v>
      </c>
      <c r="D39" s="277" t="s">
        <v>2157</v>
      </c>
      <c r="E39" s="276" t="s">
        <v>2104</v>
      </c>
      <c r="F39" s="276" t="s">
        <v>1481</v>
      </c>
      <c r="G39" s="24"/>
    </row>
    <row r="40" spans="1:7" ht="57">
      <c r="A40" s="361"/>
      <c r="B40" s="281">
        <v>4.01</v>
      </c>
      <c r="C40" s="287" t="s">
        <v>1480</v>
      </c>
      <c r="D40" s="277" t="s">
        <v>2159</v>
      </c>
      <c r="E40" s="276" t="s">
        <v>2116</v>
      </c>
      <c r="F40" s="276" t="s">
        <v>2120</v>
      </c>
      <c r="G40" s="24"/>
    </row>
    <row r="41" spans="1:7" ht="57">
      <c r="A41" s="361"/>
      <c r="B41" s="281" t="s">
        <v>2146</v>
      </c>
      <c r="C41" s="287" t="s">
        <v>1480</v>
      </c>
      <c r="D41" s="277" t="s">
        <v>2158</v>
      </c>
      <c r="E41" s="276" t="s">
        <v>2149</v>
      </c>
      <c r="F41" s="276" t="s">
        <v>2147</v>
      </c>
      <c r="G41" s="24"/>
    </row>
    <row r="42" spans="1:7" ht="57">
      <c r="A42" s="361"/>
      <c r="B42" s="281" t="s">
        <v>2173</v>
      </c>
      <c r="C42" s="287" t="s">
        <v>1480</v>
      </c>
      <c r="D42" s="277" t="s">
        <v>2178</v>
      </c>
      <c r="E42" s="276" t="s">
        <v>2148</v>
      </c>
      <c r="F42" s="276" t="s">
        <v>2174</v>
      </c>
      <c r="G42" s="24"/>
    </row>
    <row r="43" spans="1:7" ht="171">
      <c r="A43" s="361"/>
      <c r="B43" s="288">
        <v>4.0999999999999996</v>
      </c>
      <c r="C43" s="287" t="s">
        <v>2177</v>
      </c>
      <c r="D43" s="289">
        <v>42867</v>
      </c>
      <c r="E43" s="290" t="s">
        <v>2180</v>
      </c>
      <c r="F43" s="276" t="s">
        <v>2179</v>
      </c>
      <c r="G43" s="24"/>
    </row>
    <row r="44" spans="1:7" ht="102.6">
      <c r="A44" s="361"/>
      <c r="B44" s="288">
        <v>4.2</v>
      </c>
      <c r="C44" s="287" t="s">
        <v>2177</v>
      </c>
      <c r="D44" s="289">
        <v>42704</v>
      </c>
      <c r="E44" s="290" t="s">
        <v>2369</v>
      </c>
      <c r="F44" s="276" t="s">
        <v>2344</v>
      </c>
      <c r="G44" s="24"/>
    </row>
    <row r="45" spans="1:7" ht="205.2">
      <c r="A45" s="361"/>
      <c r="B45" s="291">
        <v>5</v>
      </c>
      <c r="C45" s="287" t="s">
        <v>2177</v>
      </c>
      <c r="D45" s="289">
        <v>42867</v>
      </c>
      <c r="E45" s="290" t="s">
        <v>12256</v>
      </c>
      <c r="F45" s="276" t="s">
        <v>11978</v>
      </c>
      <c r="G45" s="24"/>
    </row>
    <row r="46" spans="1:7" ht="57">
      <c r="A46" s="361"/>
      <c r="B46" s="288">
        <v>5.01</v>
      </c>
      <c r="C46" s="287" t="s">
        <v>2177</v>
      </c>
      <c r="D46" s="289">
        <v>42907</v>
      </c>
      <c r="E46" s="290" t="s">
        <v>14886</v>
      </c>
      <c r="F46" s="276" t="s">
        <v>11978</v>
      </c>
      <c r="G46" s="24"/>
    </row>
    <row r="47" spans="1:7" ht="91.2">
      <c r="A47" s="361"/>
      <c r="B47" s="288">
        <v>5.0999999999999996</v>
      </c>
      <c r="C47" s="287" t="s">
        <v>2177</v>
      </c>
      <c r="D47" s="289">
        <v>43070</v>
      </c>
      <c r="E47" s="290" t="s">
        <v>12456</v>
      </c>
      <c r="F47" s="276" t="s">
        <v>12457</v>
      </c>
      <c r="G47" s="24"/>
    </row>
    <row r="48" spans="1:7" ht="79.8">
      <c r="A48" s="361"/>
      <c r="B48" s="288">
        <v>5.1100000000000003</v>
      </c>
      <c r="C48" s="287" t="s">
        <v>12684</v>
      </c>
      <c r="D48" s="289">
        <v>43217</v>
      </c>
      <c r="E48" s="290" t="s">
        <v>12786</v>
      </c>
      <c r="F48" s="276" t="s">
        <v>12711</v>
      </c>
      <c r="G48" s="24"/>
    </row>
    <row r="49" spans="1:7" ht="79.8">
      <c r="A49" s="361"/>
      <c r="B49" s="288">
        <v>5.12</v>
      </c>
      <c r="C49" s="287" t="s">
        <v>12684</v>
      </c>
      <c r="D49" s="289">
        <v>43581</v>
      </c>
      <c r="E49" s="290" t="s">
        <v>12786</v>
      </c>
      <c r="F49" s="276" t="s">
        <v>13315</v>
      </c>
      <c r="G49" s="24"/>
    </row>
    <row r="50" spans="1:7" ht="114">
      <c r="A50" s="361"/>
      <c r="B50" s="291">
        <v>6</v>
      </c>
      <c r="C50" s="287" t="s">
        <v>12684</v>
      </c>
      <c r="D50" s="289">
        <v>43964</v>
      </c>
      <c r="E50" s="290" t="s">
        <v>13527</v>
      </c>
      <c r="F50" s="276" t="s">
        <v>13318</v>
      </c>
      <c r="G50" s="24"/>
    </row>
    <row r="51" spans="1:7" ht="57">
      <c r="A51" s="361"/>
      <c r="B51" s="288">
        <v>6.01</v>
      </c>
      <c r="C51" s="287" t="s">
        <v>12684</v>
      </c>
      <c r="D51" s="289">
        <v>43970</v>
      </c>
      <c r="E51" s="290" t="s">
        <v>14887</v>
      </c>
      <c r="F51" s="290" t="s">
        <v>13318</v>
      </c>
      <c r="G51" s="24"/>
    </row>
    <row r="52" spans="1:7" ht="57">
      <c r="A52" s="361"/>
      <c r="B52" s="288">
        <v>6.1</v>
      </c>
      <c r="C52" s="287" t="s">
        <v>12684</v>
      </c>
      <c r="D52" s="289">
        <v>44314</v>
      </c>
      <c r="E52" s="290" t="s">
        <v>14880</v>
      </c>
      <c r="F52" s="290" t="s">
        <v>14487</v>
      </c>
      <c r="G52" s="24"/>
    </row>
    <row r="53" spans="1:7" ht="57">
      <c r="A53" s="361"/>
      <c r="B53" s="288">
        <v>6.2</v>
      </c>
      <c r="C53" s="287" t="s">
        <v>12684</v>
      </c>
      <c r="D53" s="289">
        <v>44678</v>
      </c>
      <c r="E53" s="290" t="s">
        <v>14880</v>
      </c>
      <c r="F53" s="290" t="s">
        <v>14879</v>
      </c>
      <c r="G53" s="24"/>
    </row>
    <row r="54" spans="1:7" ht="57">
      <c r="A54" s="361"/>
      <c r="B54" s="288">
        <v>6.21</v>
      </c>
      <c r="C54" s="287" t="s">
        <v>12684</v>
      </c>
      <c r="D54" s="289">
        <v>44687</v>
      </c>
      <c r="E54" s="290" t="s">
        <v>14888</v>
      </c>
      <c r="F54" s="290" t="s">
        <v>14879</v>
      </c>
      <c r="G54" s="24"/>
    </row>
    <row r="55" spans="1:7" ht="57">
      <c r="A55" s="361"/>
      <c r="B55" s="288">
        <v>6.22</v>
      </c>
      <c r="C55" s="287" t="s">
        <v>12684</v>
      </c>
      <c r="D55" s="292">
        <v>44692</v>
      </c>
      <c r="E55" s="290" t="s">
        <v>14887</v>
      </c>
      <c r="F55" s="290" t="s">
        <v>14879</v>
      </c>
      <c r="G55" s="24"/>
    </row>
    <row r="56" spans="1:7" ht="79.8">
      <c r="A56" s="361"/>
      <c r="B56" s="291">
        <v>6.3</v>
      </c>
      <c r="C56" s="287" t="s">
        <v>12684</v>
      </c>
      <c r="D56" s="292">
        <v>45051</v>
      </c>
      <c r="E56" s="290" t="s">
        <v>15144</v>
      </c>
      <c r="F56" s="290" t="s">
        <v>14925</v>
      </c>
      <c r="G56" s="24"/>
    </row>
    <row r="57" spans="1:7" ht="57">
      <c r="A57" s="361"/>
      <c r="B57" s="288">
        <v>6.31</v>
      </c>
      <c r="C57" s="287" t="s">
        <v>12684</v>
      </c>
      <c r="D57" s="292">
        <v>45072</v>
      </c>
      <c r="E57" s="290" t="s">
        <v>15146</v>
      </c>
      <c r="F57" s="290" t="s">
        <v>14925</v>
      </c>
      <c r="G57" s="24"/>
    </row>
    <row r="58" spans="1:7" ht="57">
      <c r="A58" s="361"/>
      <c r="B58" s="291">
        <v>6.4</v>
      </c>
      <c r="C58" s="287" t="s">
        <v>12684</v>
      </c>
      <c r="D58" s="292">
        <v>45408</v>
      </c>
      <c r="E58" s="290" t="s">
        <v>15148</v>
      </c>
      <c r="F58" s="290" t="s">
        <v>15147</v>
      </c>
      <c r="G58" s="24"/>
    </row>
    <row r="59" spans="1:7" ht="57">
      <c r="A59" s="361"/>
      <c r="B59" s="291">
        <v>6.5</v>
      </c>
      <c r="C59" s="287" t="s">
        <v>12684</v>
      </c>
      <c r="D59" s="292">
        <v>45772</v>
      </c>
      <c r="E59" s="290" t="s">
        <v>15217</v>
      </c>
      <c r="F59" s="290" t="s">
        <v>15259</v>
      </c>
      <c r="G59" s="24"/>
    </row>
    <row r="60" spans="1:7" ht="79.8">
      <c r="A60" s="361"/>
      <c r="B60" s="291">
        <v>6.6</v>
      </c>
      <c r="C60" s="287" t="s">
        <v>12684</v>
      </c>
      <c r="D60" s="292">
        <v>46129</v>
      </c>
      <c r="E60" s="290" t="s">
        <v>15870</v>
      </c>
      <c r="F60" s="293" t="s">
        <v>15352</v>
      </c>
      <c r="G60" s="24"/>
    </row>
    <row r="61" spans="1:7" ht="13.2" thickBot="1">
      <c r="A61" s="362"/>
      <c r="B61" s="363" t="str">
        <f ca="1">OFFSET(L!$C$1,MATCH("General"&amp;"Cpy",L!$A:$A,0)-1,SL,,)</f>
        <v>© 2026 Responsible Minerals Initiative. All rights reserved.</v>
      </c>
      <c r="C61" s="363"/>
      <c r="D61" s="363"/>
      <c r="E61" s="363"/>
      <c r="F61" s="363"/>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164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5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8"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78.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5" customHeight="1">
      <c r="A52" s="99" t="str">
        <f ca="1">OFFSET(L!$C$1,MATCH("Instructions"&amp;ADDRESS(ROW(),COLUMN(),4),L!$A:$A,0)-1,SL,,)</f>
        <v>2. Metal (*)   -   Use the pull down menu to select the metal for which you are entering smelter information.  This field is mandatory.</v>
      </c>
      <c r="B52" s="97"/>
    </row>
    <row r="53" spans="1:2" ht="79.0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5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5000000000001"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4.05"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8.6">
      <c r="A10" s="71"/>
      <c r="B10" s="60" t="str">
        <f ca="1">OFFSET(L!$C$1,MATCH("Definitions"&amp;ADDRESS(ROW(),COLUMN(),4),L!$A:$A,0)-1,SL,,)</f>
        <v>DRC</v>
      </c>
      <c r="C10" s="60" t="str">
        <f ca="1">OFFSET(L!$C$1,MATCH("Definitions"&amp;ADDRESS(ROW(),COLUMN(),4),L!$A:$A,0)-1,SL,,)</f>
        <v>Democratic Republic of Congo</v>
      </c>
      <c r="D10" s="386"/>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86"/>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6.2">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81">
      <c r="A26" s="71"/>
      <c r="B26" s="60" t="str">
        <f ca="1">OFFSET(L!$C$1,MATCH("Definitions"&amp;ADDRESS(ROW(),COLUMN(),4),L!$A:$A,0)-1,SL,,)</f>
        <v>SEC</v>
      </c>
      <c r="C26" s="60" t="str">
        <f ca="1">OFFSET(L!$C$1,MATCH("Definitions"&amp;ADDRESS(ROW(),COLUMN(),4),L!$A:$A,0)-1,SL,,)</f>
        <v>U.S. Securities and Exchange Commission (www.sec.gov)</v>
      </c>
      <c r="D26" s="386"/>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3.05000000000001"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6.2">
      <c r="A32" s="71"/>
      <c r="B32" s="385" t="str">
        <f ca="1">OFFSET(L!$C$1,MATCH("General"&amp;"Cpy",L!$A:$A,0)-1,SL,,)</f>
        <v>© 2026 Responsible Minerals Initiative. All rights reserved.</v>
      </c>
      <c r="C32" s="385"/>
      <c r="D32" s="386"/>
      <c r="E32" s="97"/>
    </row>
    <row r="33" spans="1:4" ht="13.2" thickBot="1">
      <c r="A33" s="72"/>
      <c r="B33" s="146"/>
      <c r="C33" s="146"/>
      <c r="D33" s="387"/>
    </row>
    <row r="34" spans="1:4" ht="13.2"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B24" sqref="B24:J24"/>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12"/>
      <c r="B1" s="313"/>
      <c r="C1" s="313"/>
      <c r="D1" s="313"/>
      <c r="E1" s="313"/>
      <c r="F1" s="313"/>
      <c r="G1" s="313"/>
      <c r="H1" s="313"/>
      <c r="I1" s="313"/>
      <c r="J1" s="313"/>
      <c r="K1" s="314"/>
      <c r="L1" s="97"/>
      <c r="P1" s="2"/>
      <c r="Q1" s="2"/>
      <c r="R1" s="2"/>
      <c r="S1" s="2"/>
      <c r="T1" s="2"/>
      <c r="U1" s="2"/>
      <c r="V1" s="2"/>
      <c r="W1" s="2"/>
      <c r="X1" s="2"/>
      <c r="Y1" s="2"/>
      <c r="Z1" s="2"/>
      <c r="AA1" s="2"/>
      <c r="AB1" s="2"/>
      <c r="AC1" s="2"/>
      <c r="AD1" s="2"/>
      <c r="AE1" s="2"/>
      <c r="AF1" s="2"/>
      <c r="AG1" s="2"/>
      <c r="AH1" s="2"/>
    </row>
    <row r="2" spans="1:34" ht="82.35" customHeight="1">
      <c r="A2" s="31"/>
      <c r="B2" s="133"/>
      <c r="C2" s="32"/>
      <c r="D2" s="315" t="str">
        <f ca="1">OFFSET(L!$C$1,MATCH("Declaration"&amp;ADDRESS(ROW(),COLUMN(),4),L!$A:$A,0)-1,SL,,)</f>
        <v>Conflict Minerals Reporting Template (CMRT)</v>
      </c>
      <c r="E2" s="316"/>
      <c r="F2" s="316"/>
      <c r="G2" s="316"/>
      <c r="H2" s="316"/>
      <c r="I2" s="316"/>
      <c r="J2" s="31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28"/>
      <c r="G3" s="328"/>
      <c r="H3" s="328"/>
      <c r="I3" s="145"/>
      <c r="J3" s="135" t="s">
        <v>15370</v>
      </c>
      <c r="K3" s="33"/>
      <c r="L3" s="97"/>
      <c r="P3" s="42">
        <f>MATCH($D$3,LN,0)</f>
        <v>1</v>
      </c>
    </row>
    <row r="4" spans="1:34" ht="16.2">
      <c r="A4" s="31"/>
      <c r="B4" s="324" t="str">
        <f ca="1">OFFSET(L!$C$1,MATCH("Declaration"&amp;ADDRESS(ROW(),COLUMN(),4),L!$A:$A,0)-1,SL,,)</f>
        <v>The purpose of this document is to collect sourcing information on tin, tantalum, tungsten and gold used in products</v>
      </c>
      <c r="C4" s="324"/>
      <c r="D4" s="324"/>
      <c r="E4" s="324"/>
      <c r="F4" s="324"/>
      <c r="G4" s="324"/>
      <c r="H4" s="324"/>
      <c r="I4" s="329" t="str">
        <f ca="1">OFFSET(L!$C$1,MATCH("Declaration"&amp;ADDRESS(ROW(),COLUMN(),4),L!$A:$A,0)-1,SL,,)</f>
        <v>Link to Terms &amp; Conditions</v>
      </c>
      <c r="J4" s="329"/>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24" t="str">
        <f ca="1">OFFSET(L!$C$1,MATCH("Declaration"&amp;ADDRESS(ROW(),COLUMN(),4),L!$A:$A,0)-1,SL,,)</f>
        <v>Mandatory fields are noted with an asterisk (*).  Consult the instructions tab for guidance on how to answer each question.</v>
      </c>
      <c r="C6" s="324"/>
      <c r="D6" s="324"/>
      <c r="E6" s="324"/>
      <c r="F6" s="324"/>
      <c r="G6" s="324"/>
      <c r="H6" s="324"/>
      <c r="I6" s="324"/>
      <c r="J6" s="324"/>
      <c r="K6" s="33"/>
      <c r="L6" s="112" t="s">
        <v>428</v>
      </c>
      <c r="P6" s="2"/>
      <c r="Q6" s="2"/>
      <c r="R6" s="2"/>
      <c r="S6" s="2"/>
      <c r="T6" s="2"/>
      <c r="U6" s="2"/>
      <c r="V6" s="2"/>
      <c r="W6" s="2"/>
      <c r="X6" s="2"/>
      <c r="Y6" s="2"/>
      <c r="Z6" s="2"/>
      <c r="AA6" s="2"/>
      <c r="AB6" s="2"/>
      <c r="AC6" s="2"/>
      <c r="AD6" s="2"/>
      <c r="AE6" s="2"/>
      <c r="AF6" s="2"/>
      <c r="AG6" s="2"/>
      <c r="AH6" s="2"/>
    </row>
    <row r="7" spans="1:34" ht="37.049999999999997" customHeight="1">
      <c r="A7" s="31"/>
      <c r="B7" s="333" t="str">
        <f ca="1">OFFSET(L!$C$1,MATCH("Declaration"&amp;ADDRESS(ROW(),COLUMN(),4),L!$A:$A,0)-1,SL,,)</f>
        <v>Company Information</v>
      </c>
      <c r="C7" s="333"/>
      <c r="D7" s="333"/>
      <c r="E7" s="333"/>
      <c r="F7" s="333"/>
      <c r="G7" s="333"/>
      <c r="H7" s="333"/>
      <c r="I7" s="333"/>
      <c r="J7" s="333"/>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18" t="s">
        <v>15885</v>
      </c>
      <c r="E8" s="319"/>
      <c r="F8" s="319"/>
      <c r="G8" s="319"/>
      <c r="H8" s="319"/>
      <c r="I8" s="319"/>
      <c r="J8" s="320"/>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30" t="s">
        <v>479</v>
      </c>
      <c r="E9" s="331"/>
      <c r="F9" s="331"/>
      <c r="G9" s="33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49999999999997" customHeight="1">
      <c r="A10" s="35"/>
      <c r="B10" s="334" t="str">
        <f ca="1">OFFSET(L!$C$1,MATCH("Declaration"&amp;ADDRESS(ROW(),COLUMN(),4)&amp;LEFT($D$9,1),L!$A:$A,0)-1,SL,,)</f>
        <v>Description of Scope:</v>
      </c>
      <c r="C10" s="119"/>
      <c r="D10" s="325"/>
      <c r="E10" s="326"/>
      <c r="F10" s="326"/>
      <c r="G10" s="326"/>
      <c r="H10" s="326"/>
      <c r="I10" s="326"/>
      <c r="J10" s="327"/>
      <c r="K10" s="33"/>
      <c r="L10" s="112"/>
      <c r="Q10" s="2"/>
      <c r="R10" s="2"/>
      <c r="S10" s="2"/>
      <c r="T10" s="2"/>
      <c r="U10" s="2"/>
      <c r="V10" s="2"/>
      <c r="W10" s="2"/>
      <c r="X10" s="2"/>
      <c r="Y10" s="2"/>
      <c r="Z10" s="2"/>
      <c r="AA10" s="2"/>
      <c r="AB10" s="2"/>
      <c r="AC10" s="2"/>
      <c r="AD10" s="2"/>
      <c r="AE10" s="2"/>
      <c r="AF10" s="2"/>
      <c r="AG10" s="2"/>
      <c r="AH10" s="2"/>
    </row>
    <row r="11" spans="1:34" ht="16.2">
      <c r="A11" s="35"/>
      <c r="B11" s="335"/>
      <c r="C11" s="119"/>
      <c r="D11" s="341" t="str">
        <f ca="1">IF(D9=Q9,OFFSET(L!$C$1,MATCH("Declaration"&amp;ADDRESS(ROW(),COLUMN(),4),L!$A:$A,0)-1,SL,,),"")</f>
        <v/>
      </c>
      <c r="E11" s="342"/>
      <c r="F11" s="342"/>
      <c r="G11" s="342"/>
      <c r="H11" s="342"/>
      <c r="I11" s="342"/>
      <c r="J11" s="343"/>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21"/>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21" t="s">
        <v>15881</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36" t="s">
        <v>15882</v>
      </c>
      <c r="E16" s="337"/>
      <c r="F16" s="337"/>
      <c r="G16" s="337"/>
      <c r="H16" s="337"/>
      <c r="I16" s="337"/>
      <c r="J16" s="338"/>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21" t="s">
        <v>15883</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54" t="s">
        <v>15881</v>
      </c>
      <c r="E18" s="355"/>
      <c r="F18" s="355"/>
      <c r="G18" s="355"/>
      <c r="H18" s="355"/>
      <c r="I18" s="355"/>
      <c r="J18" s="356"/>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21" t="s">
        <v>15884</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36" t="s">
        <v>15882</v>
      </c>
      <c r="E20" s="337"/>
      <c r="F20" s="337"/>
      <c r="G20" s="337"/>
      <c r="H20" s="337"/>
      <c r="I20" s="337"/>
      <c r="J20" s="338"/>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294"/>
      <c r="E21" s="295"/>
      <c r="F21" s="295"/>
      <c r="G21" s="295"/>
      <c r="H21" s="295"/>
      <c r="I21" s="295"/>
      <c r="J21" s="296"/>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299">
        <v>46193</v>
      </c>
      <c r="E22" s="30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46"/>
      <c r="E23" s="34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01" t="str">
        <f ca="1">OFFSET(L!$C$1,MATCH("Declaration"&amp;ADDRESS(ROW(),COLUMN(),4),L!$A:$A,0)-1,SL,,)</f>
        <v>Answer the following questions 1 - 8 based on the declaration scope indicated above</v>
      </c>
      <c r="C24" s="301"/>
      <c r="D24" s="301"/>
      <c r="E24" s="301"/>
      <c r="F24" s="301"/>
      <c r="G24" s="301"/>
      <c r="H24" s="301"/>
      <c r="I24" s="301"/>
      <c r="J24" s="30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8" t="str">
        <f ca="1">OFFSET(L!$C$1,MATCH("Declaration"&amp;ADDRESS(ROW(),COLUMN(),4),L!$A:$A,0)-1,SL,,)</f>
        <v>Answer</v>
      </c>
      <c r="E25" s="30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 xml:space="preserve">Tantalum  </v>
      </c>
      <c r="C26" s="32"/>
      <c r="D26" s="297" t="s">
        <v>474</v>
      </c>
      <c r="E26" s="298"/>
      <c r="F26" s="11"/>
      <c r="G26" s="305"/>
      <c r="H26" s="306"/>
      <c r="I26" s="306"/>
      <c r="J26" s="307"/>
      <c r="K26" s="33"/>
      <c r="L26" s="113"/>
      <c r="P26" s="42" t="str">
        <f>IF(D$26="No","","(*)")</f>
        <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297" t="s">
        <v>473</v>
      </c>
      <c r="E27" s="298"/>
      <c r="F27" s="11"/>
      <c r="G27" s="305"/>
      <c r="H27" s="306"/>
      <c r="I27" s="306"/>
      <c r="J27" s="307"/>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 xml:space="preserve">Gold  </v>
      </c>
      <c r="C28" s="32"/>
      <c r="D28" s="297" t="s">
        <v>474</v>
      </c>
      <c r="E28" s="298"/>
      <c r="F28" s="11"/>
      <c r="G28" s="305"/>
      <c r="H28" s="306"/>
      <c r="I28" s="306"/>
      <c r="J28" s="307"/>
      <c r="K28" s="33"/>
      <c r="L28" s="113"/>
      <c r="P28" s="42" t="str">
        <f>IF(D$28="No","","(*)")</f>
        <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 xml:space="preserve">Tungsten  </v>
      </c>
      <c r="C29" s="32"/>
      <c r="D29" s="297" t="s">
        <v>474</v>
      </c>
      <c r="E29" s="298"/>
      <c r="F29" s="11"/>
      <c r="G29" s="305"/>
      <c r="H29" s="306"/>
      <c r="I29" s="306"/>
      <c r="J29" s="307"/>
      <c r="K29" s="33"/>
      <c r="L29" s="113"/>
      <c r="P29" s="42" t="str">
        <f>IF(D$29="No","","(*)")</f>
        <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2" t="str">
        <f ca="1">D25</f>
        <v>Answer</v>
      </c>
      <c r="E31" s="302"/>
      <c r="F31" s="17"/>
      <c r="G31" s="41" t="str">
        <f ca="1">G25</f>
        <v>Comments</v>
      </c>
      <c r="H31" s="41"/>
      <c r="I31" s="41"/>
      <c r="J31" s="80"/>
      <c r="K31" s="33"/>
      <c r="L31" s="108" t="s">
        <v>1197</v>
      </c>
      <c r="P31" s="42">
        <f>COUNTIF(D$26:D$29,"No")</f>
        <v>3</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 xml:space="preserve">Tantalum  </v>
      </c>
      <c r="C32" s="9"/>
      <c r="D32" s="303"/>
      <c r="E32" s="304"/>
      <c r="F32" s="44"/>
      <c r="G32" s="305"/>
      <c r="H32" s="306"/>
      <c r="I32" s="306"/>
      <c r="J32" s="307"/>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297" t="s">
        <v>473</v>
      </c>
      <c r="E33" s="298"/>
      <c r="F33" s="44"/>
      <c r="G33" s="305"/>
      <c r="H33" s="306"/>
      <c r="I33" s="306"/>
      <c r="J33" s="307"/>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 xml:space="preserve">Gold  </v>
      </c>
      <c r="C34" s="9"/>
      <c r="D34" s="297"/>
      <c r="E34" s="298"/>
      <c r="F34" s="44"/>
      <c r="G34" s="305"/>
      <c r="H34" s="306"/>
      <c r="I34" s="306"/>
      <c r="J34" s="307"/>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 xml:space="preserve">Tungsten  </v>
      </c>
      <c r="C35" s="9"/>
      <c r="D35" s="297"/>
      <c r="E35" s="298"/>
      <c r="F35" s="44"/>
      <c r="G35" s="305"/>
      <c r="H35" s="306"/>
      <c r="I35" s="306"/>
      <c r="J35" s="307"/>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2" t="str">
        <f ca="1">D25</f>
        <v>Answer</v>
      </c>
      <c r="E37" s="302"/>
      <c r="F37" s="17"/>
      <c r="G37" s="41" t="str">
        <f ca="1">G25</f>
        <v>Comments</v>
      </c>
      <c r="H37" s="345"/>
      <c r="I37" s="345"/>
      <c r="J37" s="345"/>
      <c r="K37" s="33"/>
      <c r="L37" s="108" t="s">
        <v>1197</v>
      </c>
      <c r="P37" s="42">
        <f>COUNTIF(D$26:D$29,"No")+COUNTIF(D$32:D$35,"No")</f>
        <v>3</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 xml:space="preserve">Tantalum  </v>
      </c>
      <c r="C38" s="9"/>
      <c r="D38" s="297"/>
      <c r="E38" s="298"/>
      <c r="F38" s="44"/>
      <c r="G38" s="305"/>
      <c r="H38" s="306"/>
      <c r="I38" s="306"/>
      <c r="J38" s="307"/>
      <c r="K38" s="33"/>
      <c r="L38" s="113"/>
      <c r="P38" s="42" t="str">
        <f>IF((OR(D$26="No",D$32="No")),"","(*)")</f>
        <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297" t="s">
        <v>473</v>
      </c>
      <c r="E39" s="298"/>
      <c r="F39" s="44"/>
      <c r="G39" s="305"/>
      <c r="H39" s="306"/>
      <c r="I39" s="306"/>
      <c r="J39" s="307"/>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 xml:space="preserve">Gold  </v>
      </c>
      <c r="C40" s="9"/>
      <c r="D40" s="297"/>
      <c r="E40" s="298"/>
      <c r="F40" s="44"/>
      <c r="G40" s="305"/>
      <c r="H40" s="306"/>
      <c r="I40" s="306"/>
      <c r="J40" s="307"/>
      <c r="K40" s="33"/>
      <c r="L40" s="113"/>
      <c r="P40" s="42" t="str">
        <f>IF((OR(D$28="No",D$34="No")),"","(*)")</f>
        <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 xml:space="preserve">Tungsten  </v>
      </c>
      <c r="C41" s="9"/>
      <c r="D41" s="297"/>
      <c r="E41" s="298"/>
      <c r="F41" s="44"/>
      <c r="G41" s="305"/>
      <c r="H41" s="306"/>
      <c r="I41" s="306"/>
      <c r="J41" s="307"/>
      <c r="K41" s="33"/>
      <c r="L41" s="113"/>
      <c r="P41" s="42" t="str">
        <f>IF((OR(D$29="No",D$35="No")),"","(*)")</f>
        <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2" t="str">
        <f ca="1">D25</f>
        <v>Answer</v>
      </c>
      <c r="E43" s="302"/>
      <c r="F43" s="17"/>
      <c r="G43" s="41" t="str">
        <f ca="1">G25</f>
        <v>Comments</v>
      </c>
      <c r="H43" s="41"/>
      <c r="I43" s="41"/>
      <c r="J43" s="80"/>
      <c r="K43" s="33"/>
      <c r="L43" s="108"/>
      <c r="P43" s="42">
        <f>COUNTIF(D$26:D$29,"No")+COUNTIF(D$32:D$35,"No")</f>
        <v>3</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305"/>
      <c r="H44" s="306"/>
      <c r="I44" s="306"/>
      <c r="J44" s="307"/>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474</v>
      </c>
      <c r="E45" s="298"/>
      <c r="F45" s="44"/>
      <c r="G45" s="305"/>
      <c r="H45" s="306"/>
      <c r="I45" s="306"/>
      <c r="J45" s="307"/>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297"/>
      <c r="E46" s="298"/>
      <c r="F46" s="44"/>
      <c r="G46" s="305"/>
      <c r="H46" s="306"/>
      <c r="I46" s="306"/>
      <c r="J46" s="307"/>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305"/>
      <c r="H47" s="306"/>
      <c r="I47" s="306"/>
      <c r="J47" s="307"/>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2" t="str">
        <f ca="1">D25</f>
        <v>Answer</v>
      </c>
      <c r="E49" s="30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 xml:space="preserve">Tantalum  </v>
      </c>
      <c r="C50" s="9"/>
      <c r="D50" s="297"/>
      <c r="E50" s="298"/>
      <c r="F50" s="44"/>
      <c r="G50" s="305"/>
      <c r="H50" s="306"/>
      <c r="I50" s="306"/>
      <c r="J50" s="307"/>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297" t="s">
        <v>474</v>
      </c>
      <c r="E51" s="298"/>
      <c r="F51" s="44"/>
      <c r="G51" s="305"/>
      <c r="H51" s="306"/>
      <c r="I51" s="306"/>
      <c r="J51" s="307"/>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 xml:space="preserve">Gold  </v>
      </c>
      <c r="C52" s="9"/>
      <c r="D52" s="297"/>
      <c r="E52" s="298"/>
      <c r="F52" s="44"/>
      <c r="G52" s="305"/>
      <c r="H52" s="306"/>
      <c r="I52" s="306"/>
      <c r="J52" s="307"/>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 xml:space="preserve">Tungsten  </v>
      </c>
      <c r="C53" s="9"/>
      <c r="D53" s="297"/>
      <c r="E53" s="298"/>
      <c r="F53" s="44"/>
      <c r="G53" s="305"/>
      <c r="H53" s="306"/>
      <c r="I53" s="306"/>
      <c r="J53" s="307"/>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2" t="str">
        <f ca="1">D25</f>
        <v>Answer</v>
      </c>
      <c r="E55" s="30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 xml:space="preserve">Tantalum  </v>
      </c>
      <c r="C56" s="32"/>
      <c r="D56" s="339"/>
      <c r="E56" s="340"/>
      <c r="F56" s="44"/>
      <c r="G56" s="305"/>
      <c r="H56" s="306"/>
      <c r="I56" s="306"/>
      <c r="J56" s="307"/>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39" t="s">
        <v>15879</v>
      </c>
      <c r="E57" s="340"/>
      <c r="F57" s="44"/>
      <c r="G57" s="305"/>
      <c r="H57" s="306"/>
      <c r="I57" s="306"/>
      <c r="J57" s="307"/>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 xml:space="preserve">Gold  </v>
      </c>
      <c r="C58" s="32"/>
      <c r="D58" s="339"/>
      <c r="E58" s="340"/>
      <c r="F58" s="44"/>
      <c r="G58" s="305"/>
      <c r="H58" s="306"/>
      <c r="I58" s="306"/>
      <c r="J58" s="307"/>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 xml:space="preserve">Tungsten  </v>
      </c>
      <c r="C59" s="32"/>
      <c r="D59" s="339"/>
      <c r="E59" s="340"/>
      <c r="F59" s="44"/>
      <c r="G59" s="305"/>
      <c r="H59" s="306"/>
      <c r="I59" s="306"/>
      <c r="J59" s="307"/>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2" t="str">
        <f ca="1">D25</f>
        <v>Answer</v>
      </c>
      <c r="E61" s="302"/>
      <c r="F61" s="17"/>
      <c r="G61" s="41" t="str">
        <f ca="1">G25</f>
        <v>Comments</v>
      </c>
      <c r="H61" s="344"/>
      <c r="I61" s="344"/>
      <c r="J61" s="344"/>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 xml:space="preserve">Tantalum  </v>
      </c>
      <c r="C62" s="9"/>
      <c r="D62" s="303"/>
      <c r="E62" s="304"/>
      <c r="F62" s="44"/>
      <c r="G62" s="305"/>
      <c r="H62" s="306"/>
      <c r="I62" s="306"/>
      <c r="J62" s="307"/>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297" t="s">
        <v>473</v>
      </c>
      <c r="E63" s="298"/>
      <c r="F63" s="44"/>
      <c r="G63" s="305"/>
      <c r="H63" s="306"/>
      <c r="I63" s="306"/>
      <c r="J63" s="307"/>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 xml:space="preserve">Gold  </v>
      </c>
      <c r="C64" s="9"/>
      <c r="D64" s="297"/>
      <c r="E64" s="298"/>
      <c r="F64" s="44"/>
      <c r="G64" s="305"/>
      <c r="H64" s="306"/>
      <c r="I64" s="306"/>
      <c r="J64" s="307"/>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 xml:space="preserve">Tungsten  </v>
      </c>
      <c r="C65" s="9"/>
      <c r="D65" s="297"/>
      <c r="E65" s="298"/>
      <c r="F65" s="44"/>
      <c r="G65" s="305"/>
      <c r="H65" s="306"/>
      <c r="I65" s="306"/>
      <c r="J65" s="307"/>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2" t="str">
        <f ca="1">D25</f>
        <v>Answer</v>
      </c>
      <c r="E67" s="302"/>
      <c r="F67" s="17"/>
      <c r="G67" s="41" t="str">
        <f ca="1">G25</f>
        <v>Comments</v>
      </c>
      <c r="H67" s="344" t="str">
        <f>IF(Q75="(*)","Click here to enter smelter names","")</f>
        <v/>
      </c>
      <c r="I67" s="344"/>
      <c r="J67" s="344"/>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 xml:space="preserve">Tantalum  </v>
      </c>
      <c r="C68" s="32"/>
      <c r="D68" s="297"/>
      <c r="E68" s="298"/>
      <c r="F68" s="45"/>
      <c r="G68" s="305"/>
      <c r="H68" s="306"/>
      <c r="I68" s="306"/>
      <c r="J68" s="307"/>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297" t="s">
        <v>473</v>
      </c>
      <c r="E69" s="298"/>
      <c r="F69" s="45"/>
      <c r="G69" s="305"/>
      <c r="H69" s="306"/>
      <c r="I69" s="306"/>
      <c r="J69" s="307"/>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 xml:space="preserve">Gold  </v>
      </c>
      <c r="C70" s="32"/>
      <c r="D70" s="297"/>
      <c r="E70" s="298"/>
      <c r="F70" s="45"/>
      <c r="G70" s="305"/>
      <c r="H70" s="306"/>
      <c r="I70" s="306"/>
      <c r="J70" s="307"/>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 xml:space="preserve">Tungsten  </v>
      </c>
      <c r="C71" s="46"/>
      <c r="D71" s="297"/>
      <c r="E71" s="298"/>
      <c r="F71" s="47"/>
      <c r="G71" s="305"/>
      <c r="H71" s="306"/>
      <c r="I71" s="306"/>
      <c r="J71" s="307"/>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57" t="str">
        <f ca="1">OFFSET(L!$C$1,MATCH("Declaration"&amp;ADDRESS(ROW(),COLUMN(),4),L!$A:$A,0)-1,SL,,)</f>
        <v>Answer the Following Questions at a Company Level</v>
      </c>
      <c r="C73" s="357"/>
      <c r="D73" s="357"/>
      <c r="E73" s="357"/>
      <c r="F73" s="357"/>
      <c r="G73" s="357"/>
      <c r="H73" s="357"/>
      <c r="I73" s="357"/>
      <c r="J73" s="357"/>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08" t="str">
        <f ca="1">D25</f>
        <v>Answer</v>
      </c>
      <c r="E74" s="308"/>
      <c r="F74" s="50"/>
      <c r="G74" s="308" t="str">
        <f ca="1">G25</f>
        <v>Comments</v>
      </c>
      <c r="H74" s="308" t="e">
        <f>HLOOKUP(SL,LT,$O74,0)</f>
        <v>#NAME?</v>
      </c>
      <c r="I74" s="30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297" t="s">
        <v>473</v>
      </c>
      <c r="E75" s="298"/>
      <c r="F75" s="54"/>
      <c r="G75" s="305"/>
      <c r="H75" s="306"/>
      <c r="I75" s="306"/>
      <c r="J75" s="307"/>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52"/>
      <c r="H76" s="352"/>
      <c r="I76" s="352"/>
      <c r="J76" s="35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473</v>
      </c>
      <c r="E77" s="298"/>
      <c r="F77" s="54"/>
      <c r="G77" s="309" t="s">
        <v>15880</v>
      </c>
      <c r="H77" s="310"/>
      <c r="I77" s="310"/>
      <c r="J77" s="311"/>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305"/>
      <c r="H79" s="306"/>
      <c r="I79" s="306"/>
      <c r="J79" s="307"/>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305"/>
      <c r="H81" s="306"/>
      <c r="I81" s="306"/>
      <c r="J81" s="307"/>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305"/>
      <c r="H83" s="306"/>
      <c r="I83" s="306"/>
      <c r="J83" s="307"/>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50" t="s">
        <v>473</v>
      </c>
      <c r="E85" s="351"/>
      <c r="F85" s="54"/>
      <c r="G85" s="305"/>
      <c r="H85" s="306"/>
      <c r="I85" s="306"/>
      <c r="J85" s="307"/>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52"/>
      <c r="H86" s="352"/>
      <c r="I86" s="352"/>
      <c r="J86" s="35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473</v>
      </c>
      <c r="E87" s="298"/>
      <c r="F87" s="54"/>
      <c r="G87" s="305"/>
      <c r="H87" s="306"/>
      <c r="I87" s="306"/>
      <c r="J87" s="307"/>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53"/>
      <c r="H88" s="353"/>
      <c r="I88" s="353"/>
      <c r="J88" s="353"/>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297" t="s">
        <v>474</v>
      </c>
      <c r="E89" s="298"/>
      <c r="F89" s="54"/>
      <c r="G89" s="305"/>
      <c r="H89" s="306"/>
      <c r="I89" s="306"/>
      <c r="J89" s="307"/>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49" t="str">
        <f>IF(OR($D$8="",$I$3=""),"","Click here to check required fields completion")</f>
        <v/>
      </c>
      <c r="C90" s="349"/>
      <c r="D90" s="349"/>
      <c r="E90" s="349"/>
      <c r="F90" s="349"/>
      <c r="G90" s="349"/>
      <c r="H90" s="349"/>
      <c r="I90" s="349"/>
      <c r="J90" s="349"/>
      <c r="K90" s="33"/>
      <c r="L90" s="97"/>
      <c r="P90" s="2"/>
      <c r="Q90" s="2"/>
      <c r="R90" s="2"/>
      <c r="S90" s="2"/>
      <c r="T90" s="2"/>
      <c r="U90" s="2"/>
      <c r="V90" s="2"/>
      <c r="W90" s="2"/>
      <c r="X90" s="2"/>
      <c r="Y90" s="2"/>
      <c r="Z90" s="2"/>
      <c r="AA90" s="2"/>
      <c r="AB90" s="2"/>
      <c r="AC90" s="2"/>
      <c r="AD90" s="2"/>
      <c r="AE90" s="2"/>
      <c r="AF90" s="2"/>
      <c r="AG90" s="2"/>
      <c r="AH90" s="2"/>
    </row>
    <row r="91" spans="1:34" ht="16.8" thickBot="1">
      <c r="A91" s="347" t="str">
        <f ca="1">OFFSET(L!$C$1,MATCH("General"&amp;"Cpy",L!$A:$A,0)-1,SL,,)</f>
        <v>© 2026 Responsible Minerals Initiative. All rights reserved.</v>
      </c>
      <c r="B91" s="348"/>
      <c r="C91" s="348"/>
      <c r="D91" s="348"/>
      <c r="E91" s="348"/>
      <c r="F91" s="348"/>
      <c r="G91" s="348"/>
      <c r="H91" s="348"/>
      <c r="I91" s="348"/>
      <c r="J91" s="348"/>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2370</v>
      </c>
      <c r="D100" s="264" t="str">
        <f>IF(AND(OR($D$27="Yes",$D$27=""),OR($D$33="Yes",$D$33="")),"No","")</f>
        <v>No</v>
      </c>
      <c r="E100" s="264" t="str">
        <f>IF(AND(OR($D$26="Yes",$D$26=""),OR($D$32="Yes",$D$32="")),"50% or less","")</f>
        <v/>
      </c>
      <c r="G100" s="264" t="str">
        <f>IF(OR($D$28="Yes",$D$28=""),"Yes","")</f>
        <v/>
      </c>
    </row>
    <row r="101" spans="2:7" ht="15" hidden="1">
      <c r="B101" s="219" t="s">
        <v>2371</v>
      </c>
      <c r="D101" s="264" t="str">
        <f>IF(AND(OR($D$27="Yes",$D$27=""),OR($D$33="Yes",$D$33="")),"Unknown","")</f>
        <v>Unknown</v>
      </c>
      <c r="E101" s="264" t="str">
        <f>IF(AND(OR($D$26="Yes",$D$26=""),OR($D$32="Yes",$D$32="")),"None","")</f>
        <v/>
      </c>
      <c r="G101" s="264" t="str">
        <f>IF(OR($D$28="Yes",$D$28=""),"No","")</f>
        <v/>
      </c>
    </row>
    <row r="102" spans="2:7" ht="15" hidden="1">
      <c r="B102" s="219" t="s">
        <v>2372</v>
      </c>
      <c r="D102" s="264" t="str">
        <f>IF(AND(OR($D$28="Yes",$D$28=""),OR($D$34="Yes",$D$34="")),"Yes","")</f>
        <v/>
      </c>
      <c r="E102" s="264" t="str">
        <f>IF(AND(OR($D$27="Yes",$D$27=""),OR($D$33="Yes",$D$33="")),"100%","")</f>
        <v>100%</v>
      </c>
      <c r="G102" s="264" t="str">
        <f>IF(OR($D$29="Yes",$D$29=""),"Yes","")</f>
        <v/>
      </c>
    </row>
    <row r="103" spans="2:7" ht="15" hidden="1">
      <c r="B103" s="219" t="s">
        <v>2373</v>
      </c>
      <c r="D103" s="264" t="str">
        <f>IF(AND(OR($D$28="Yes",$D$28=""),OR($D$34="Yes",$D$34="")),"No","")</f>
        <v/>
      </c>
      <c r="E103" s="264" t="str">
        <f>IF(AND(OR($D$27="Yes",$D$27=""),OR($D$33="Yes",$D$33="")),"Greater than 90%","")</f>
        <v>Greater than 90%</v>
      </c>
      <c r="G103" s="264" t="str">
        <f>IF(OR($D$29="Yes",$D$29=""),"No","")</f>
        <v/>
      </c>
    </row>
    <row r="104" spans="2:7" ht="15" hidden="1">
      <c r="B104" s="219" t="s">
        <v>476</v>
      </c>
      <c r="D104" s="264" t="str">
        <f>IF(AND(OR($D$28="Yes",$D$28=""),OR($D$34="Yes",$D$34="")),"Unknown","")</f>
        <v/>
      </c>
      <c r="E104" s="264" t="str">
        <f>IF(AND(OR($D$27="Yes",$D$27=""),OR($D$33="Yes",$D$33="")),"Greater than 75%","")</f>
        <v>Greater than 75%</v>
      </c>
    </row>
    <row r="105" spans="2:7" ht="15" hidden="1">
      <c r="B105" s="219" t="s">
        <v>14427</v>
      </c>
      <c r="D105" s="264" t="str">
        <f>IF(AND(OR($D$29="Yes",$D$29=""),OR($D$35="Yes",$D$35="")),"Yes","")</f>
        <v/>
      </c>
      <c r="E105" s="264" t="str">
        <f>IF(AND(OR($D$27="Yes",$D$27=""),OR($D$33="Yes",$D$33="")),"Greater than 50%","")</f>
        <v>Greater than 50%</v>
      </c>
    </row>
    <row r="106" spans="2:7" ht="15" hidden="1">
      <c r="B106" s="219" t="s">
        <v>11949</v>
      </c>
      <c r="D106" s="264" t="str">
        <f>IF(AND(OR($D$29="Yes",$D$29=""),OR($D$35="Yes",$D$35="")),"No","")</f>
        <v/>
      </c>
      <c r="E106" s="264" t="str">
        <f>IF(AND(OR($D$27="Yes",$D$27=""),OR($D$33="Yes",$D$33="")),"50% or less","")</f>
        <v>50% or less</v>
      </c>
    </row>
    <row r="107" spans="2:7" ht="15" hidden="1">
      <c r="B107" s="219" t="s">
        <v>474</v>
      </c>
      <c r="D107" s="264" t="str">
        <f>IF(AND(OR($D$29="Yes",$D$29=""),OR($D$35="Yes",$D$35="")),"Unknown","")</f>
        <v/>
      </c>
      <c r="E107" s="264" t="str">
        <f>IF(AND(OR($D$27="Yes",$D$27=""),OR($D$33="Yes",$D$33="")),"None","")</f>
        <v>None</v>
      </c>
    </row>
    <row r="108" spans="2:7" ht="15" hidden="1">
      <c r="B108" s="219" t="s">
        <v>13454</v>
      </c>
      <c r="E108" s="264" t="str">
        <f>IF(AND(OR($D$28="Yes",$D$28=""),OR($D$34="Yes",$D$34="")),"100%","")</f>
        <v/>
      </c>
    </row>
    <row r="109" spans="2:7" ht="15" hidden="1">
      <c r="B109" s="219" t="s">
        <v>13456</v>
      </c>
      <c r="E109" s="264" t="str">
        <f>IF(AND(OR($D$28="Yes",$D$28=""),OR($D$34="Yes",$D$34="")),"Greater than 90%","")</f>
        <v/>
      </c>
    </row>
    <row r="110" spans="2:7" ht="15" hidden="1">
      <c r="B110" s="219" t="s">
        <v>13457</v>
      </c>
      <c r="E110" s="264" t="str">
        <f>IF(AND(OR($D$28="Yes",$D$28=""),OR($D$34="Yes",$D$34="")),"Greater than 75%","")</f>
        <v/>
      </c>
    </row>
    <row r="111" spans="2:7" ht="1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 r:id="rId3" xr:uid="{853065FD-C628-472B-A934-56F245E4AE35}"/>
    <hyperlink ref="D16" r:id="rId4" xr:uid="{7D56017B-0005-4426-AD63-DC0D1F67AAA1}"/>
    <hyperlink ref="D20" r:id="rId5" xr:uid="{0D273B0A-2EA2-42BF-97E6-AF98D049CA79}"/>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C10" sqref="C10"/>
    </sheetView>
  </sheetViews>
  <sheetFormatPr defaultColWidth="8.81640625" defaultRowHeight="12.6"/>
  <cols>
    <col min="1" max="1" width="13.6328125" style="210" customWidth="1"/>
    <col min="2" max="2" width="13.36328125" style="212" customWidth="1"/>
    <col min="3" max="3" width="40.6328125" style="212" customWidth="1"/>
    <col min="4" max="4" width="30.6328125" style="212" customWidth="1"/>
    <col min="5" max="5" width="20.81640625" style="212" customWidth="1"/>
    <col min="6" max="7" width="13.81640625" style="212" customWidth="1"/>
    <col min="8" max="8" width="25.1796875" style="212" customWidth="1"/>
    <col min="9" max="9" width="24.1796875" style="212" customWidth="1"/>
    <col min="10" max="10" width="18.36328125" style="212" customWidth="1"/>
    <col min="11" max="11" width="27.36328125" style="212" customWidth="1"/>
    <col min="12" max="12" width="20.6328125" style="212" customWidth="1"/>
    <col min="13" max="13" width="35.1796875" style="212" customWidth="1"/>
    <col min="14" max="14" width="42.1796875" style="212" customWidth="1"/>
    <col min="15" max="15" width="32.1796875" style="212" customWidth="1"/>
    <col min="16" max="16" width="22.81640625" style="212" customWidth="1"/>
    <col min="17" max="17" width="43.6328125" style="212" customWidth="1"/>
    <col min="18" max="18" width="35.81640625" style="212" hidden="1" customWidth="1"/>
    <col min="19" max="20" width="17.81640625" style="212" hidden="1" customWidth="1"/>
    <col min="21" max="21" width="8.81640625" style="212" hidden="1" customWidth="1"/>
    <col min="22" max="22" width="6.1796875" style="212" hidden="1" customWidth="1"/>
    <col min="23" max="23" width="8.6328125" style="212" hidden="1" customWidth="1"/>
    <col min="24" max="24" width="8.81640625" style="212" hidden="1" customWidth="1"/>
    <col min="25" max="27" width="4.36328125" style="212" hidden="1" customWidth="1"/>
    <col min="28" max="28" width="7.81640625" style="212" hidden="1" customWidth="1"/>
    <col min="29" max="33" width="4.36328125" style="212" hidden="1" customWidth="1"/>
    <col min="34" max="34" width="14.6328125" style="212" hidden="1" customWidth="1"/>
    <col min="35" max="39" width="8.81640625" style="212" customWidth="1"/>
    <col min="40" max="16384" width="8.81640625" style="212"/>
  </cols>
  <sheetData>
    <row r="1" spans="1:34" s="204" customFormat="1" ht="16.0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740</v>
      </c>
      <c r="B5" s="166" t="str">
        <f ca="1">IF(LEN(A5)=0,"",INDEX('Smelter Look-up'!$A:$A,MATCH($A5,'Smelter Look-up'!$E:$E,0)))</f>
        <v>Tin</v>
      </c>
      <c r="C5" s="170" t="str">
        <f ca="1">IF(LEN(A5)=0,"",INDEX('Smelter Look-up'!$C:$C,MATCH($A5,'Smelter Look-up'!$E:$E,0)))</f>
        <v>Gejiu Zili Mining And Metallurgy Co., Ltd.</v>
      </c>
      <c r="D5" s="213"/>
      <c r="E5" s="166" t="str">
        <f ca="1">IF(ISERROR($V5),"",OFFSET('Smelter Look-up'!$D$4,$V5-4,0)&amp;"")</f>
        <v>CHINA</v>
      </c>
      <c r="F5" s="166" t="str">
        <f ca="1">IF(ISERROR($V5),"",OFFSET('Smelter Look-up'!$E$4,$V5-4,0))</f>
        <v>CID000555</v>
      </c>
      <c r="G5" s="166" t="str">
        <f ca="1">IF(C5=$X$4,IF(ISERROR($V5),"Enter smelter details","RMI"),IF(ISERROR($V5),"",OFFSET('Smelter Look-up'!$F$4,$V5-4,0)))</f>
        <v>RMI</v>
      </c>
      <c r="H5" s="167">
        <f ca="1">IF(ISERROR($V5),"",OFFSET('Smelter Look-up'!$G$4,$V5-4,0))</f>
        <v>0</v>
      </c>
      <c r="I5" s="168" t="str">
        <f ca="1">IF(ISERROR($V5),"",OFFSET('Smelter Look-up'!$H$4,$V5-4,0))</f>
        <v>Gejiu</v>
      </c>
      <c r="J5" s="168" t="str">
        <f ca="1">IF(ISERROR($V5),"",OFFSET('Smelter Look-up'!$I$4,$V5-4,0))</f>
        <v>Yunnan Sheng</v>
      </c>
      <c r="K5" s="207"/>
      <c r="L5" s="207"/>
      <c r="M5" s="207"/>
      <c r="N5" s="207"/>
      <c r="O5" s="207"/>
      <c r="P5" s="169"/>
      <c r="Q5" s="208"/>
      <c r="R5" s="166" t="str">
        <f ca="1">IF(ISERROR($V5),"",OFFSET('Smelter Look-up'!$C$4,$V5-4,0)&amp;"")</f>
        <v>Gejiu Zili Mining And Metallurgy Co., Ltd.</v>
      </c>
      <c r="S5" s="165" t="str">
        <f ca="1">IF(B5="","",IF(ISERROR(MATCH($E5,CL,0)),"Unknown",INDIRECT("'C'!$A$"&amp;MATCH($E5,CL,0)+1)))</f>
        <v>CN</v>
      </c>
      <c r="T5" s="165" t="str">
        <f ca="1">IF(B5="","",IF(ISERROR(MATCH($J5,SorP!$B$1:$B$6261,0)),"",INDIRECT("'SorP'!$A$"&amp;MATCH($S5&amp;$J5,SorP!C:C,0))))</f>
        <v>CN-YN</v>
      </c>
      <c r="U5" s="185"/>
      <c r="V5" s="209">
        <f ca="1">IF(C5="",NA(),IF(OR(C5="Smelter not listed",C5="Smelter not yet identified"),MATCH($B5&amp;$D5,'Smelter Look-up'!$J:$J,0),MATCH($B5&amp;$C5,'Smelter Look-up'!$J:$J,0)))</f>
        <v>471</v>
      </c>
      <c r="X5" s="210">
        <f t="shared" ref="X5" ca="1" si="0">IF(AND(C5="Smelter not listed",OR(LEN(D5)=0,LEN(E5)=0)),1,0)</f>
        <v>0</v>
      </c>
      <c r="AB5" s="211" t="str">
        <f t="shared" ref="AB5" ca="1" si="1">B5&amp;C5</f>
        <v>TinGejiu Zili Mining And Metallurgy Co., Ltd.</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399999999999999">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399999999999999">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399999999999999">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399999999999999">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399999999999999">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399999999999999">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399999999999999">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399999999999999">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399999999999999">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399999999999999">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399999999999999">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399999999999999">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399999999999999">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399999999999999">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399999999999999">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399999999999999">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399999999999999">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399999999999999">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399999999999999">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399999999999999">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399999999999999">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399999999999999">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399999999999999">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399999999999999">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399999999999999">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399999999999999">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399999999999999">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399999999999999">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399999999999999">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399999999999999">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399999999999999">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399999999999999">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399999999999999">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399999999999999">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399999999999999">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399999999999999">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399999999999999">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399999999999999">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399999999999999">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399999999999999">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399999999999999">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399999999999999">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399999999999999">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399999999999999">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399999999999999">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399999999999999">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399999999999999">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399999999999999">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399999999999999">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399999999999999">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399999999999999">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399999999999999">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399999999999999">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399999999999999">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399999999999999">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399999999999999">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399999999999999">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399999999999999">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399999999999999">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399999999999999">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399999999999999">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399999999999999">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399999999999999">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399999999999999">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399999999999999">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399999999999999">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399999999999999">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399999999999999">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399999999999999">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399999999999999">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399999999999999">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399999999999999">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399999999999999">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399999999999999">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399999999999999">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399999999999999">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399999999999999">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399999999999999">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399999999999999">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399999999999999">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399999999999999">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399999999999999">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399999999999999">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399999999999999">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399999999999999">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399999999999999">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399999999999999">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399999999999999">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399999999999999">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399999999999999">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399999999999999">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399999999999999">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399999999999999">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399999999999999">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399999999999999">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399999999999999">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399999999999999">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399999999999999">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399999999999999">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399999999999999">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399999999999999">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399999999999999">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399999999999999">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399999999999999">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399999999999999">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399999999999999">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399999999999999">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399999999999999">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399999999999999">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399999999999999">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399999999999999">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399999999999999">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399999999999999">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399999999999999">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399999999999999">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399999999999999">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399999999999999">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399999999999999">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399999999999999">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399999999999999">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399999999999999">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399999999999999">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399999999999999">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399999999999999">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399999999999999">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399999999999999">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399999999999999">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399999999999999">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399999999999999">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399999999999999">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399999999999999">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399999999999999">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399999999999999">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399999999999999">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399999999999999">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399999999999999">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399999999999999">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399999999999999">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399999999999999">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399999999999999">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399999999999999">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399999999999999">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399999999999999">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399999999999999">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399999999999999">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399999999999999">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399999999999999">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399999999999999">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668E0A63-0E07-4D8F-859B-2C0072D39C92}"/>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1640625" defaultRowHeight="12.6"/>
  <cols>
    <col min="1" max="1" width="45.1796875" style="18" customWidth="1"/>
    <col min="2" max="2" width="42.81640625" style="19" customWidth="1"/>
    <col min="3" max="3" width="51.6328125" style="18" customWidth="1"/>
    <col min="4" max="4" width="29.1796875" style="19" customWidth="1"/>
    <col min="5" max="5" width="9" style="18" customWidth="1"/>
    <col min="6" max="6" width="13.6328125" style="18" hidden="1" customWidth="1"/>
    <col min="7" max="7" width="13.36328125" style="18" hidden="1" customWidth="1"/>
    <col min="8" max="9" width="9" style="18" hidden="1" customWidth="1"/>
    <col min="10" max="10" width="48.81640625" style="18" hidden="1" customWidth="1"/>
    <col min="11" max="11" width="9" style="18" hidden="1" customWidth="1"/>
    <col min="12" max="15" width="8.81640625" style="18" hidden="1" customWidth="1"/>
    <col min="16" max="18" width="8.81640625" style="18" customWidth="1"/>
    <col min="19" max="16384" width="8.81640625" style="18"/>
  </cols>
  <sheetData>
    <row r="1" spans="1:10" ht="32.4">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6.2">
      <c r="A2" s="63" t="s">
        <v>858</v>
      </c>
      <c r="B2" s="64" t="str">
        <f>IF(F65=1,"Click here to return to Smelter List","")</f>
        <v/>
      </c>
      <c r="C2" s="118" t="str">
        <f>IF(F65=1,"Click here to return to Product List","")</f>
        <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HUDSON</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Claire Stevenson</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claire.stevenson@anglia.com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01945 473518</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Claire Stevenson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claire.stevenson@anglia.com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46193</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49999999999997" customHeight="1">
      <c r="A56" s="86" t="s">
        <v>3</v>
      </c>
      <c r="B56" s="86" t="str">
        <f>Declaration!G77</f>
        <v>https://www.anglia-live.com/Suppliers/SuppliersDocs.aspx?type=Conflict%20Minerals</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List'!AB$5:AB$2504,"Tantalum?*")&gt;0),0,1)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List'!AB$5:AB$2504,"Tin?*")&gt;0),0,1)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0</v>
      </c>
      <c r="G67" s="67">
        <f ca="1">IF(AND(COUNTIF(SmelterIdetifiedForMetal,"Gold")&gt;0,COUNTIF('Smelter List'!AB$5:AB$2504,"Gold?*")&gt;0),0,1)</f>
        <v>1</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List'!AB$5:AB$2504,"Tungsten?*")&gt;0),0,1)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24" sqref="B24"/>
    </sheetView>
  </sheetViews>
  <sheetFormatPr defaultColWidth="8.81640625" defaultRowHeight="12.6"/>
  <cols>
    <col min="1" max="1" width="3.1796875" style="259" customWidth="1"/>
    <col min="2" max="2" width="39.81640625" style="262" customWidth="1"/>
    <col min="3" max="5" width="39.81640625" style="259" customWidth="1"/>
    <col min="6" max="6" width="58.81640625" style="259" customWidth="1"/>
    <col min="7" max="7" width="1.6328125" style="259" customWidth="1"/>
    <col min="8" max="8" width="9" style="259" customWidth="1"/>
    <col min="9" max="16384" width="8.8164062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1640625" defaultRowHeight="12.6"/>
  <cols>
    <col min="1" max="1" width="9.1796875" style="173" bestFit="1" customWidth="1"/>
    <col min="2" max="2" width="42.81640625" style="173" customWidth="1"/>
    <col min="3" max="3" width="63.81640625" style="173" customWidth="1"/>
    <col min="4" max="4" width="25.6328125" style="173" customWidth="1"/>
    <col min="5" max="5" width="12.6328125" style="173" customWidth="1"/>
    <col min="6" max="6" width="12.6328125" style="174" customWidth="1"/>
    <col min="7" max="7" width="15.36328125" style="173" customWidth="1"/>
    <col min="8" max="8" width="23.81640625" style="173" customWidth="1"/>
    <col min="9" max="9" width="28.1796875" style="173" customWidth="1"/>
    <col min="10" max="10" width="48.26953125" style="173" hidden="1" customWidth="1"/>
    <col min="11" max="11" width="49.7265625" style="173" hidden="1" customWidth="1"/>
    <col min="12" max="16384" width="8.8164062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1640625" defaultRowHeight="13.8"/>
  <cols>
    <col min="1" max="1" width="14.6328125" style="148" customWidth="1"/>
    <col min="2" max="2" width="14" style="148" customWidth="1"/>
    <col min="3" max="3" width="6.1796875" style="148" customWidth="1"/>
    <col min="4" max="4" width="56.26953125" style="148" customWidth="1"/>
    <col min="5" max="5" width="53.7265625" style="216" customWidth="1"/>
    <col min="6" max="6" width="54.1796875" style="148" customWidth="1"/>
    <col min="7" max="7" width="68.26953125" style="148" customWidth="1"/>
    <col min="8" max="8" width="49.26953125" style="148" customWidth="1"/>
    <col min="9" max="9" width="51.6328125" style="148" customWidth="1"/>
    <col min="10" max="10" width="50.26953125" style="148" customWidth="1"/>
    <col min="11" max="11" width="51.81640625" customWidth="1"/>
    <col min="12" max="12" width="66.81640625" style="239" customWidth="1"/>
    <col min="13" max="13" width="46.1796875" style="106" customWidth="1"/>
    <col min="14" max="15" width="8.81640625" style="106" customWidth="1"/>
    <col min="16" max="16384" width="8.8164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1.19999999999999">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74.4">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17.39999999999998">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03.6000000000000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82.8">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0.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6.6">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1640625" defaultRowHeight="12.6"/>
  <cols>
    <col min="1" max="1" width="20.6328125" style="62" customWidth="1"/>
    <col min="2" max="2" width="57.1796875" style="62" customWidth="1"/>
    <col min="3" max="16384" width="8.8164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56039053-FA3E-46F2-9FE8-7CEB43F0A68D}"/>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1640625" defaultRowHeight="12.6"/>
  <cols>
    <col min="1" max="1" width="11.1796875" customWidth="1"/>
    <col min="2" max="2" width="25.7265625" customWidth="1"/>
    <col min="3" max="3" width="11.8164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A3EE2E1B-249D-4C41-90FB-6FFBA5BE7FD8}"/>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Steve Arnold</cp:lastModifiedBy>
  <cp:lastPrinted>2015-04-21T20:47:43Z</cp:lastPrinted>
  <dcterms:created xsi:type="dcterms:W3CDTF">2010-06-21T21:00:23Z</dcterms:created>
  <dcterms:modified xsi:type="dcterms:W3CDTF">2026-09-28T10:42:03Z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