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workbookPr codeName="ThisWorkbook" autoCompressPictures="0"/>
  <mc:AlternateContent xmlns:mc="http://schemas.openxmlformats.org/markup-compatibility/2006">
    <mc:Choice Requires="x15">
      <x15ac:absPath xmlns:x15ac="http://schemas.microsoft.com/office/spreadsheetml/2010/11/ac" url="T:\00 - Supplier Documentation\Conflict Minerals (inc. CMRT, EMRT &amp; AMRT)\CMRTs\0 - CMRT6.5\Calinar\"/>
    </mc:Choice>
  </mc:AlternateContent>
  <xr:revisionPtr revIDLastSave="0" documentId="13_ncr:1_{46B2AE23-A895-4EAC-AAA0-DB214F5A0049}"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855" yWindow="-16005" windowWidth="27600" windowHeight="1519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7" i="5"/>
  <c r="V7" i="5"/>
  <c r="J7" i="5"/>
  <c r="C8" i="5"/>
  <c r="V8" i="5"/>
  <c r="J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5" i="5" s="1"/>
  <c r="C4"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E7" i="5"/>
  <c r="X7" i="5" s="1"/>
  <c r="E8" i="5"/>
  <c r="X8" i="5" s="1"/>
  <c r="V9" i="5"/>
  <c r="E9" i="5"/>
  <c r="X9" i="5" s="1"/>
  <c r="V10" i="5"/>
  <c r="E10" i="5"/>
  <c r="X10" i="5" s="1"/>
  <c r="V11" i="5"/>
  <c r="E11" i="5"/>
  <c r="X11" i="5" s="1"/>
  <c r="V12" i="5"/>
  <c r="E12" i="5"/>
  <c r="X12" i="5" s="1"/>
  <c r="V13" i="5"/>
  <c r="E13" i="5"/>
  <c r="X13" i="5" s="1"/>
  <c r="V14" i="5"/>
  <c r="E14" i="5"/>
  <c r="X14" i="5" s="1"/>
  <c r="V15" i="5"/>
  <c r="E15" i="5"/>
  <c r="V16" i="5"/>
  <c r="E16" i="5"/>
  <c r="X16" i="5" s="1"/>
  <c r="V17" i="5"/>
  <c r="E17" i="5"/>
  <c r="X17" i="5" s="1"/>
  <c r="V18" i="5"/>
  <c r="E18" i="5"/>
  <c r="X18" i="5" s="1"/>
  <c r="V19" i="5"/>
  <c r="E19" i="5"/>
  <c r="X19" i="5" s="1"/>
  <c r="V20" i="5"/>
  <c r="E20" i="5"/>
  <c r="X20" i="5" s="1"/>
  <c r="V21" i="5"/>
  <c r="E21" i="5"/>
  <c r="X21" i="5" s="1"/>
  <c r="V22" i="5"/>
  <c r="E22" i="5"/>
  <c r="X22" i="5" s="1"/>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X43" i="5" s="1"/>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c r="B59" i="6"/>
  <c r="G59" i="6" s="1"/>
  <c r="B58" i="6"/>
  <c r="G58" i="6" s="1"/>
  <c r="B57" i="6"/>
  <c r="G57" i="6"/>
  <c r="B56" i="6"/>
  <c r="G56" i="6"/>
  <c r="B55" i="6"/>
  <c r="G55" i="6"/>
  <c r="B54" i="6"/>
  <c r="G54" i="6"/>
  <c r="B17" i="6"/>
  <c r="B16" i="6"/>
  <c r="F21" i="6" s="1"/>
  <c r="B15" i="6"/>
  <c r="F20" i="6" s="1"/>
  <c r="B14" i="6"/>
  <c r="G14" i="6"/>
  <c r="H14" i="6"/>
  <c r="H13" i="6"/>
  <c r="B12" i="6"/>
  <c r="G12" i="6" s="1"/>
  <c r="H12" i="6" s="1"/>
  <c r="D12" i="6" s="1"/>
  <c r="B11" i="6"/>
  <c r="G11" i="6" s="1"/>
  <c r="H11" i="6" s="1"/>
  <c r="D11" i="6" s="1"/>
  <c r="G10" i="6"/>
  <c r="H10" i="6" s="1"/>
  <c r="D10" i="6" s="1"/>
  <c r="G9" i="6"/>
  <c r="H9" i="6" s="1"/>
  <c r="D9" i="6" s="1"/>
  <c r="B8" i="6"/>
  <c r="G8" i="6"/>
  <c r="H8" i="6"/>
  <c r="D8" i="6" s="1"/>
  <c r="B7" i="6"/>
  <c r="G7" i="6"/>
  <c r="H7" i="6"/>
  <c r="D7" i="6"/>
  <c r="B6" i="6"/>
  <c r="G6" i="6"/>
  <c r="B5" i="6"/>
  <c r="G5" i="6" s="1"/>
  <c r="H5" i="6" s="1"/>
  <c r="B4" i="6"/>
  <c r="G4" i="6" s="1"/>
  <c r="H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B90" i="4"/>
  <c r="H67" i="4"/>
  <c r="P47" i="4"/>
  <c r="P46" i="4"/>
  <c r="B46" i="4" s="1"/>
  <c r="A31" i="6" s="1"/>
  <c r="P45" i="4"/>
  <c r="B45" i="4" s="1"/>
  <c r="A30" i="6" s="1"/>
  <c r="P44" i="4"/>
  <c r="P43" i="4"/>
  <c r="Q43" i="4" s="1"/>
  <c r="P41" i="4"/>
  <c r="P40" i="4"/>
  <c r="B40" i="4" s="1"/>
  <c r="B64" i="4" s="1"/>
  <c r="A46" i="6" s="1"/>
  <c r="P39" i="4"/>
  <c r="B39" i="4" s="1"/>
  <c r="B69" i="4" s="1"/>
  <c r="A50" i="6" s="1"/>
  <c r="P38" i="4"/>
  <c r="P37" i="4"/>
  <c r="Q37" i="4" s="1"/>
  <c r="B77" i="4" s="1"/>
  <c r="A55" i="6" s="1"/>
  <c r="P35" i="4"/>
  <c r="P34" i="4"/>
  <c r="P33" i="4"/>
  <c r="P32" i="4"/>
  <c r="P31" i="4"/>
  <c r="Q31" i="4" s="1"/>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D14" i="6"/>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F2442" i="5"/>
  <c r="J2442" i="5"/>
  <c r="I2442" i="5"/>
  <c r="H2442" i="5"/>
  <c r="AB2460" i="5"/>
  <c r="F2497" i="5"/>
  <c r="R2497" i="5"/>
  <c r="J2497" i="5"/>
  <c r="I2497" i="5"/>
  <c r="H2497" i="5"/>
  <c r="S2501"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G15" i="6"/>
  <c r="H15" i="6"/>
  <c r="B20" i="6"/>
  <c r="G20" i="6" s="1"/>
  <c r="H20" i="6" s="1"/>
  <c r="D20"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26" i="6" s="1"/>
  <c r="G26" i="6" s="1"/>
  <c r="G16" i="6"/>
  <c r="H16" i="6" s="1"/>
  <c r="D16" i="6" s="1"/>
  <c r="B19" i="6"/>
  <c r="A38" i="2"/>
  <c r="J4" i="5"/>
  <c r="B41" i="4"/>
  <c r="B71" i="4" s="1"/>
  <c r="A52"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9" i="4" s="1"/>
  <c r="A17" i="2"/>
  <c r="A34" i="2"/>
  <c r="A52" i="2"/>
  <c r="A70" i="2"/>
  <c r="C7" i="3"/>
  <c r="C15" i="3"/>
  <c r="C23" i="3"/>
  <c r="C31" i="3"/>
  <c r="B15" i="4"/>
  <c r="A7" i="6" s="1"/>
  <c r="B28" i="4"/>
  <c r="B34" i="4" s="1"/>
  <c r="A2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C8" i="6" s="1"/>
  <c r="J9" i="6"/>
  <c r="J10" i="6"/>
  <c r="J11" i="6"/>
  <c r="J12" i="6"/>
  <c r="I24" i="6"/>
  <c r="J35" i="6"/>
  <c r="I36" i="6"/>
  <c r="I44" i="6"/>
  <c r="J51" i="6"/>
  <c r="I52" i="6"/>
  <c r="J60" i="6"/>
  <c r="I62" i="6"/>
  <c r="I65" i="6"/>
  <c r="D5" i="7"/>
  <c r="B10" i="4"/>
  <c r="A6" i="6" s="1"/>
  <c r="B18" i="4"/>
  <c r="A10" i="6" s="1"/>
  <c r="G25" i="4"/>
  <c r="G67" i="4" s="1"/>
  <c r="B44" i="4"/>
  <c r="A29" i="6" s="1"/>
  <c r="A4" i="5"/>
  <c r="I4" i="5"/>
  <c r="I14" i="6"/>
  <c r="I15" i="6"/>
  <c r="C15" i="6" s="1"/>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X347" i="5"/>
  <c r="S598" i="5"/>
  <c r="X504" i="5"/>
  <c r="S532" i="5"/>
  <c r="S356" i="5"/>
  <c r="S343" i="5"/>
  <c r="S315" i="5"/>
  <c r="S357" i="5"/>
  <c r="S383"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B52" i="6"/>
  <c r="G52" i="6" s="1"/>
  <c r="B42" i="6"/>
  <c r="G42" i="6"/>
  <c r="B35" i="6"/>
  <c r="G35" i="6" s="1"/>
  <c r="B39" i="6"/>
  <c r="G39" i="6"/>
  <c r="F24" i="6"/>
  <c r="B44" i="6"/>
  <c r="G44" i="6"/>
  <c r="B49" i="6"/>
  <c r="G49" i="6" s="1"/>
  <c r="B34" i="6"/>
  <c r="G34" i="6"/>
  <c r="H34" i="6" s="1"/>
  <c r="D34" i="6" s="1"/>
  <c r="B29" i="6"/>
  <c r="G29" i="6"/>
  <c r="B24" i="6"/>
  <c r="G24" i="6"/>
  <c r="H24" i="6" s="1"/>
  <c r="D24" i="6" s="1"/>
  <c r="G19" i="6"/>
  <c r="H19" i="6" s="1"/>
  <c r="K65" i="6" s="1"/>
  <c r="F2426" i="5"/>
  <c r="R2426" i="5"/>
  <c r="J2426" i="5"/>
  <c r="I2426" i="5"/>
  <c r="H2426" i="5"/>
  <c r="F2446" i="5"/>
  <c r="H2446" i="5"/>
  <c r="J2446" i="5"/>
  <c r="I2446" i="5"/>
  <c r="R2446" i="5"/>
  <c r="B47" i="6"/>
  <c r="G47" i="6"/>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D17" i="6"/>
  <c r="H2439" i="5"/>
  <c r="F2439" i="5"/>
  <c r="R2439" i="5"/>
  <c r="J2439" i="5"/>
  <c r="I2439" i="5"/>
  <c r="F2414" i="5"/>
  <c r="R2414" i="5"/>
  <c r="J2414" i="5"/>
  <c r="I2414" i="5"/>
  <c r="H2414" i="5"/>
  <c r="J2448" i="5"/>
  <c r="F2448" i="5"/>
  <c r="I2448" i="5"/>
  <c r="H2448" i="5"/>
  <c r="R2448" i="5"/>
  <c r="B27" i="6"/>
  <c r="G27" i="6" s="1"/>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X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X879"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X635"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c r="D44" i="6"/>
  <c r="F34" i="6"/>
  <c r="F39" i="6"/>
  <c r="H39" i="6" s="1"/>
  <c r="D39" i="6" s="1"/>
  <c r="F65" i="6"/>
  <c r="C2" i="6" s="1"/>
  <c r="F49" i="6"/>
  <c r="F29" i="6"/>
  <c r="H29" i="6"/>
  <c r="D29" i="6" s="1"/>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597" i="5"/>
  <c r="S599" i="5"/>
  <c r="S611" i="5"/>
  <c r="S601" i="5"/>
  <c r="X287" i="5"/>
  <c r="S600" i="5"/>
  <c r="S382" i="5"/>
  <c r="S533" i="5"/>
  <c r="S355" i="5"/>
  <c r="S602" i="5"/>
  <c r="S603" i="5"/>
  <c r="S605" i="5"/>
  <c r="S607" i="5"/>
  <c r="S314" i="5"/>
  <c r="AB12" i="5"/>
  <c r="AB9" i="5"/>
  <c r="AB10" i="5"/>
  <c r="AB14" i="5"/>
  <c r="AB17" i="5"/>
  <c r="AB16" i="5"/>
  <c r="AB8" i="5"/>
  <c r="AB13" i="5"/>
  <c r="AB15" i="5"/>
  <c r="AB11" i="5"/>
  <c r="AB7" i="5"/>
  <c r="D19"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I10" i="5"/>
  <c r="F10" i="5"/>
  <c r="R10" i="5"/>
  <c r="J10" i="5"/>
  <c r="H10" i="5"/>
  <c r="H13" i="5"/>
  <c r="R13" i="5"/>
  <c r="J13" i="5"/>
  <c r="I13" i="5"/>
  <c r="F13" i="5"/>
  <c r="H7" i="5"/>
  <c r="R7" i="5"/>
  <c r="F7" i="5"/>
  <c r="I7" i="5"/>
  <c r="H17" i="5"/>
  <c r="I17" i="5"/>
  <c r="J17" i="5"/>
  <c r="R17" i="5"/>
  <c r="F17" i="5"/>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X15" i="5"/>
  <c r="S17" i="5"/>
  <c r="S12" i="5"/>
  <c r="S16" i="5"/>
  <c r="S15" i="5"/>
  <c r="S13" i="5"/>
  <c r="S14" i="5"/>
  <c r="S10" i="5"/>
  <c r="S11" i="5"/>
  <c r="S8" i="5"/>
  <c r="S9" i="5"/>
  <c r="S7" i="5"/>
  <c r="G64" i="6" a="1"/>
  <c r="C6" i="5" l="1"/>
  <c r="B6" i="5"/>
  <c r="B51" i="6"/>
  <c r="G51" i="6" s="1"/>
  <c r="F26" i="6"/>
  <c r="F67" i="6" s="1"/>
  <c r="B41" i="6"/>
  <c r="G41" i="6" s="1"/>
  <c r="C9" i="6"/>
  <c r="C12" i="6"/>
  <c r="C11" i="6"/>
  <c r="C10" i="6"/>
  <c r="C7" i="6"/>
  <c r="D37" i="4"/>
  <c r="D74" i="4"/>
  <c r="B51" i="4"/>
  <c r="A35" i="6" s="1"/>
  <c r="B5" i="5"/>
  <c r="D61" i="4"/>
  <c r="A14" i="6"/>
  <c r="B25" i="6"/>
  <c r="G25" i="6" s="1"/>
  <c r="F68" i="6"/>
  <c r="F32" i="6"/>
  <c r="H32" i="6" s="1"/>
  <c r="H27" i="6"/>
  <c r="D27" i="6" s="1"/>
  <c r="F52" i="6"/>
  <c r="H52" i="6" s="1"/>
  <c r="D52" i="6" s="1"/>
  <c r="F42" i="6"/>
  <c r="H42" i="6" s="1"/>
  <c r="D42" i="6" s="1"/>
  <c r="F47" i="6"/>
  <c r="H47" i="6" s="1"/>
  <c r="D47" i="6" s="1"/>
  <c r="F37" i="6"/>
  <c r="H37" i="6" s="1"/>
  <c r="C27" i="6"/>
  <c r="C16" i="6"/>
  <c r="C22" i="6"/>
  <c r="C47" i="6"/>
  <c r="B35" i="4"/>
  <c r="A22" i="6" s="1"/>
  <c r="G22" i="6"/>
  <c r="H22" i="6" s="1"/>
  <c r="B37" i="6"/>
  <c r="G37" i="6" s="1"/>
  <c r="B32" i="6"/>
  <c r="G32" i="6" s="1"/>
  <c r="D55" i="4"/>
  <c r="D67" i="4"/>
  <c r="D43" i="4"/>
  <c r="C52" i="6"/>
  <c r="C42" i="6"/>
  <c r="C17" i="6"/>
  <c r="B83" i="4"/>
  <c r="A59" i="6" s="1"/>
  <c r="B36" i="6"/>
  <c r="G36" i="6" s="1"/>
  <c r="B43" i="4"/>
  <c r="A28" i="6" s="1"/>
  <c r="A16" i="6"/>
  <c r="G21" i="6"/>
  <c r="H21" i="6" s="1"/>
  <c r="B59" i="4"/>
  <c r="A42" i="6" s="1"/>
  <c r="B65" i="4"/>
  <c r="A47" i="6" s="1"/>
  <c r="F41" i="6"/>
  <c r="H41" i="6" s="1"/>
  <c r="D31" i="4"/>
  <c r="B31" i="6"/>
  <c r="G31" i="6" s="1"/>
  <c r="B53" i="4"/>
  <c r="A37" i="6" s="1"/>
  <c r="K66" i="6"/>
  <c r="C20" i="6"/>
  <c r="C14" i="6"/>
  <c r="F25" i="6"/>
  <c r="B30" i="6"/>
  <c r="G30" i="6" s="1"/>
  <c r="B45" i="6"/>
  <c r="G45" i="6" s="1"/>
  <c r="B40" i="6"/>
  <c r="G40" i="6" s="1"/>
  <c r="B50" i="6"/>
  <c r="G50" i="6" s="1"/>
  <c r="B2" i="6"/>
  <c r="G43" i="4"/>
  <c r="G55" i="4"/>
  <c r="G49" i="4"/>
  <c r="G37" i="4"/>
  <c r="B79" i="4"/>
  <c r="A57" i="6" s="1"/>
  <c r="B61" i="4"/>
  <c r="A43" i="6" s="1"/>
  <c r="B31" i="4"/>
  <c r="A18" i="6" s="1"/>
  <c r="B87" i="4"/>
  <c r="A62" i="6" s="1"/>
  <c r="B75" i="4"/>
  <c r="A54" i="6" s="1"/>
  <c r="B49" i="4"/>
  <c r="A33" i="6" s="1"/>
  <c r="B55" i="4"/>
  <c r="A38" i="6" s="1"/>
  <c r="B81" i="4"/>
  <c r="A58" i="6" s="1"/>
  <c r="B85" i="4"/>
  <c r="A60" i="6" s="1"/>
  <c r="B67" i="4"/>
  <c r="A48" i="6" s="1"/>
  <c r="B89" i="4"/>
  <c r="A63" i="6" s="1"/>
  <c r="B37" i="4"/>
  <c r="A23" i="6" s="1"/>
  <c r="H49" i="6"/>
  <c r="D49" i="6" s="1"/>
  <c r="C34" i="6"/>
  <c r="C24" i="6"/>
  <c r="C19" i="6"/>
  <c r="C39" i="6"/>
  <c r="C29" i="6"/>
  <c r="C44" i="6"/>
  <c r="C4" i="6"/>
  <c r="D4" i="6"/>
  <c r="A27" i="6"/>
  <c r="B33" i="4"/>
  <c r="A20" i="6" s="1"/>
  <c r="D5" i="6"/>
  <c r="C5" i="6"/>
  <c r="F64" i="6"/>
  <c r="F6" i="6"/>
  <c r="H6" i="6" s="1"/>
  <c r="B50" i="4"/>
  <c r="A34" i="6" s="1"/>
  <c r="B56" i="4"/>
  <c r="A39" i="6" s="1"/>
  <c r="G74" i="4"/>
  <c r="G61" i="4"/>
  <c r="G31" i="4"/>
  <c r="B68" i="4"/>
  <c r="A49" i="6" s="1"/>
  <c r="A24" i="6"/>
  <c r="B63" i="4"/>
  <c r="A45" i="6" s="1"/>
  <c r="A25" i="6"/>
  <c r="B57" i="4"/>
  <c r="A40" i="6" s="1"/>
  <c r="B62" i="4"/>
  <c r="A44" i="6" s="1"/>
  <c r="G64" i="6"/>
  <c r="B58" i="4"/>
  <c r="A41" i="6" s="1"/>
  <c r="B52" i="4"/>
  <c r="A36" i="6" s="1"/>
  <c r="B70" i="4"/>
  <c r="A51" i="6" s="1"/>
  <c r="A26" i="6"/>
  <c r="F69" i="6"/>
  <c r="F36" i="6" l="1"/>
  <c r="V6" i="5"/>
  <c r="AB6" i="5"/>
  <c r="H26" i="6"/>
  <c r="D26" i="6" s="1"/>
  <c r="F46" i="6"/>
  <c r="H46" i="6" s="1"/>
  <c r="F31" i="6"/>
  <c r="H31" i="6" s="1"/>
  <c r="F51" i="6"/>
  <c r="H51" i="6" s="1"/>
  <c r="AB5" i="5"/>
  <c r="G67" i="6"/>
  <c r="H67" i="6" s="1"/>
  <c r="G68" i="6"/>
  <c r="H68" i="6" s="1"/>
  <c r="G66" i="6"/>
  <c r="G65" i="6"/>
  <c r="H65" i="6" s="1"/>
  <c r="D65" i="6" s="1"/>
  <c r="V5" i="5"/>
  <c r="D37" i="6"/>
  <c r="C37" i="6"/>
  <c r="K68" i="6"/>
  <c r="D22" i="6"/>
  <c r="C32" i="6"/>
  <c r="D32" i="6"/>
  <c r="D41" i="6"/>
  <c r="C41" i="6"/>
  <c r="H36" i="6"/>
  <c r="K67" i="6"/>
  <c r="D21" i="6"/>
  <c r="C21" i="6"/>
  <c r="F35" i="6"/>
  <c r="H35" i="6" s="1"/>
  <c r="F50" i="6"/>
  <c r="H50" i="6" s="1"/>
  <c r="F54" i="6"/>
  <c r="F40" i="6"/>
  <c r="H40" i="6" s="1"/>
  <c r="F45" i="6"/>
  <c r="H45" i="6" s="1"/>
  <c r="F66" i="6"/>
  <c r="F30" i="6"/>
  <c r="H30" i="6" s="1"/>
  <c r="H25" i="6"/>
  <c r="C49" i="6"/>
  <c r="D6" i="6"/>
  <c r="C6" i="6"/>
  <c r="B64" i="6"/>
  <c r="H64" i="6"/>
  <c r="C69" i="6"/>
  <c r="J6" i="5" l="1"/>
  <c r="F6" i="5"/>
  <c r="E6" i="5"/>
  <c r="I6" i="5"/>
  <c r="H6" i="5"/>
  <c r="R6" i="5"/>
  <c r="G6" i="5"/>
  <c r="C26" i="6"/>
  <c r="C31" i="6"/>
  <c r="D31" i="6"/>
  <c r="D51" i="6"/>
  <c r="C51" i="6"/>
  <c r="D46" i="6"/>
  <c r="C46" i="6"/>
  <c r="D68" i="6"/>
  <c r="C68" i="6"/>
  <c r="D67" i="6"/>
  <c r="C67" i="6"/>
  <c r="F5" i="5"/>
  <c r="R5" i="5"/>
  <c r="I5" i="5"/>
  <c r="J5" i="5"/>
  <c r="E5" i="5"/>
  <c r="G5" i="5"/>
  <c r="H5" i="5"/>
  <c r="C65" i="6"/>
  <c r="H66" i="6"/>
  <c r="C66" i="6" s="1"/>
  <c r="D36" i="6"/>
  <c r="C36" i="6"/>
  <c r="D25" i="6"/>
  <c r="C25" i="6"/>
  <c r="D40" i="6"/>
  <c r="C40" i="6"/>
  <c r="D35" i="6"/>
  <c r="C35" i="6"/>
  <c r="D30" i="6"/>
  <c r="C30" i="6"/>
  <c r="F63" i="6"/>
  <c r="H63" i="6" s="1"/>
  <c r="F59" i="6"/>
  <c r="H59" i="6" s="1"/>
  <c r="H54" i="6"/>
  <c r="F60" i="6"/>
  <c r="H60" i="6" s="1"/>
  <c r="F57" i="6"/>
  <c r="H57" i="6" s="1"/>
  <c r="F55" i="6"/>
  <c r="F58" i="6"/>
  <c r="H58" i="6" s="1"/>
  <c r="F62" i="6"/>
  <c r="H62" i="6" s="1"/>
  <c r="D45" i="6"/>
  <c r="C45" i="6"/>
  <c r="D50" i="6"/>
  <c r="C50" i="6"/>
  <c r="D64" i="6"/>
  <c r="C64" i="6"/>
  <c r="S5" i="5"/>
  <c r="X6" i="5" l="1"/>
  <c r="D66" i="6"/>
  <c r="X5" i="5"/>
  <c r="G69" i="6" a="1"/>
  <c r="G69" i="6" s="1"/>
  <c r="H69" i="6" s="1"/>
  <c r="D63" i="6"/>
  <c r="C63" i="6"/>
  <c r="C62" i="6"/>
  <c r="D62" i="6"/>
  <c r="C58" i="6"/>
  <c r="D58" i="6"/>
  <c r="H55" i="6"/>
  <c r="F56" i="6"/>
  <c r="H56" i="6" s="1"/>
  <c r="C59" i="6"/>
  <c r="D59" i="6"/>
  <c r="D57" i="6"/>
  <c r="C57" i="6"/>
  <c r="D60" i="6"/>
  <c r="C60" i="6"/>
  <c r="D54" i="6"/>
  <c r="C54" i="6"/>
  <c r="S6" i="5"/>
  <c r="T5" i="5"/>
  <c r="D56" i="6" l="1"/>
  <c r="C56" i="6"/>
  <c r="D55" i="6"/>
  <c r="C55" i="6"/>
  <c r="H70" i="6"/>
  <c r="D2" i="6" s="1"/>
  <c r="T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<sst xmlns="http://schemas.openxmlformats.org/spreadsheetml/2006/main" count="22326" uniqueCount="15824">
  <si>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</si>
  <si>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</si>
  <si>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</si>
  <si>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</si>
  <si>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</si>
  <si>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</si>
  <si>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</si>
  <si>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</si>
  <si>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</si>
  <si>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</si>
  <si>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</si>
  <si>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</si>
  <si>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</si>
  <si>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</si>
  <si>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</si>
  <si>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</si>
  <si>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</si>
  <si>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</si>
  <si>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</si>
  <si>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</si>
  <si>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</si>
  <si>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</si>
  <si>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</si>
  <si>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</si>
  <si>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</si>
  <si>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</si>
  <si>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</si>
  <si>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</si>
  <si>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</si>
  <si>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</si>
  <si>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</si>
  <si>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</si>
  <si>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</si>
  <si>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</si>
  <si>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</si>
  <si>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</si>
  <si>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</si>
  <si>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</si>
  <si>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</si>
  <si>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</si>
  <si>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</si>
  <si>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</si>
  <si>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</si>
  <si>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</si>
  <si>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</si>
  <si>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</si>
  <si>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</si>
  <si>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</si>
  <si>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</si>
  <si>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</si>
  <si>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</si>
  <si>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</si>
  <si>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</si>
  <si>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</si>
  <si>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</si>
  <si>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</si>
  <si>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</si>
  <si>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</si>
  <si>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</si>
  <si>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</si>
  <si>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</si>
  <si>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</si>
  <si>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</si>
  <si>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</si>
  <si>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</si>
  <si>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</si>
  <si>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</si>
  <si>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</si>
  <si>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</si>
  <si>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</si>
  <si>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</si>
  <si>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</si>
  <si>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</si>
  <si>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</si>
  <si>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</si>
  <si>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</si>
  <si>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</si>
  <si>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</si>
  <si>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</si>
  <si>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</si>
  <si>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</si>
  <si>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</si>
  <si>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</si>
  <si>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</si>
  <si>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</si>
  <si>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</si>
  <si>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</si>
  <si>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</si>
  <si>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</si>
  <si>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</si>
  <si>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</si>
  <si>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</si>
  <si>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</si>
  <si>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</si>
  <si>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</si>
  <si>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</si>
  <si>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</si>
  <si>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</si>
  <si>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</si>
  <si>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</si>
  <si>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</si>
  <si>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</si>
  <si>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</si>
  <si>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</si>
  <si>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</si>
  <si>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</si>
  <si>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</si>
  <si>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</si>
  <si>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</si>
  <si>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</si>
  <si>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</si>
  <si>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</si>
  <si>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</si>
  <si>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</si>
  <si>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</si>
  <si>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</si>
  <si>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</si>
  <si>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</si>
  <si>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</si>
  <si>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</si>
  <si>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</si>
  <si>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</si>
  <si>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</si>
  <si>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</si>
  <si>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</si>
  <si>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</si>
  <si>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</si>
  <si>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</si>
  <si>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</si>
  <si>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</si>
  <si>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</si>
  <si>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</si>
  <si>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</si>
  <si>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</si>
  <si>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</si>
  <si>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</si>
  <si>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</si>
  <si>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</si>
  <si>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</si>
  <si>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</si>
  <si>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</si>
  <si>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</si>
  <si>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</si>
  <si>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</si>
  <si>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</si>
  <si>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</si>
  <si>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</si>
  <si>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</si>
  <si>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</si>
  <si>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</si>
  <si>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</si>
  <si>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</si>
  <si>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</si>
  <si>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</si>
  <si>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</si>
  <si>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</si>
  <si>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</si>
  <si>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</si>
  <si>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</si>
  <si>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</si>
  <si>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</si>
  <si>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</si>
  <si>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</si>
  <si>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</si>
  <si>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</si>
  <si>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</si>
  <si>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</si>
  <si>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</si>
  <si>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</si>
  <si>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</si>
  <si>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</si>
  <si>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</si>
  <si>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</si>
  <si>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</si>
  <si>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</si>
  <si>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</si>
  <si>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</si>
  <si>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</si>
  <si>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</si>
  <si>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</si>
  <si>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</si>
  <si>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</si>
  <si>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</si>
  <si>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</si>
  <si>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</si>
  <si>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</si>
  <si>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</si>
  <si>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</si>
  <si>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</si>
  <si>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</si>
  <si>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</si>
  <si>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</si>
  <si>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</si>
  <si>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</si>
  <si>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</si>
  <si>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</si>
  <si>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</si>
  <si>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</si>
  <si>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</si>
  <si>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</si>
  <si>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</si>
  <si>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</si>
  <si>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</si>
  <si>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</si>
  <si>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</si>
  <si>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</si>
  <si>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</si>
  <si>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</si>
  <si>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</si>
  <si>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</si>
  <si>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</si>
  <si>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</si>
  <si>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</si>
  <si>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</si>
  <si>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</si>
  <si>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</si>
  <si>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</si>
  <si>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</si>
  <si>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</si>
  <si>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</si>
  <si>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</si>
  <si>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</si>
  <si>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</si>
  <si>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</si>
  <si>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</si>
  <si>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</si>
  <si>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</si>
  <si>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</si>
  <si>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</si>
  <si>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</si>
  <si>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</si>
  <si>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</si>
  <si>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</si>
  <si>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</si>
  <si>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</si>
  <si>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</si>
  <si>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</si>
  <si>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</si>
  <si>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</si>
  <si>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</si>
  <si>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</si>
  <si>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</si>
  <si>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</si>
  <si>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</si>
  <si>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</si>
  <si>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</si>
  <si>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</si>
  <si>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</si>
  <si>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</si>
  <si>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</si>
  <si>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</si>
  <si>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</si>
  <si>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</si>
  <si>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</si>
  <si>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</si>
  <si>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</si>
  <si>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</si>
  <si>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</si>
  <si>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</si>
  <si>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</si>
  <si>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</si>
  <si>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</si>
  <si>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</si>
  <si>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</si>
  <si>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</si>
  <si>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</si>
  <si>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</si>
  <si>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</si>
  <si>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</si>
  <si>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</si>
  <si>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</si>
  <si>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</si>
  <si>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</si>
  <si>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</si>
  <si>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</si>
  <si>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</si>
  <si>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</si>
  <si>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</si>
  <si>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</si>
  <si>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</si>
  <si>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</si>
  <si>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</si>
  <si>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</si>
  <si>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</si>
  <si>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</si>
  <si>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</si>
  <si>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</si>
  <si>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</si>
  <si>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</si>
  <si>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</si>
  <si>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</si>
  <si>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</si>
  <si>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</si>
  <si>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</si>
  <si>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</si>
  <si>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</si>
  <si>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</si>
  <si>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</si>
  <si>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</si>
  <si>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</si>
  <si>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</si>
  <si>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</si>
  <si>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</si>
  <si>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</si>
  <si>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</si>
  <si>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</si>
  <si>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</si>
  <si>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</si>
  <si>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</si>
  <si>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</si>
  <si>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</si>
  <si>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</si>
  <si>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</si>
  <si>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</si>
  <si>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</si>
  <si>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</si>
  <si>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</si>
  <si>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</si>
  <si>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</si>
  <si>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</si>
  <si>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</si>
  <si>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</si>
  <si>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</si>
  <si>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</si>
  <si>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</si>
  <si>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</si>
  <si>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</si>
  <si>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</si>
  <si>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</si>
  <si>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</si>
  <si>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</si>
  <si>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</si>
  <si>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</si>
  <si>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</si>
  <si>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</si>
  <si>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</si>
  <si>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</si>
  <si>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</si>
  <si>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</si>
  <si>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</si>
  <si>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</si>
  <si>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</si>
  <si>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</si>
  <si>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</si>
  <si>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</si>
  <si>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</si>
  <si>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</si>
  <si>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</si>
  <si>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</si>
  <si>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</si>
  <si>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</si>
  <si>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</si>
  <si>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</si>
  <si>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</si>
  <si>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</si>
  <si>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</si>
  <si>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</si>
  <si>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</si>
  <si>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</si>
  <si>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</si>
  <si>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</si>
  <si>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</si>
  <si>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</si>
  <si>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</si>
  <si>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</si>
  <si>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</si>
  <si>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</si>
  <si>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</si>
  <si>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</si>
  <si>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</si>
  <si>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</si>
  <si>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</si>
  <si>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</si>
  <si>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</si>
  <si>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</si>
  <si>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</si>
  <si>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</si>
  <si>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</si>
  <si>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</si>
  <si>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</si>
  <si>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</si>
  <si>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</si>
  <si>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</si>
  <si>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</si>
  <si>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</si>
  <si>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</si>
  <si>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</si>
  <si>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</si>
  <si>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</si>
  <si>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</si>
  <si>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</si>
  <si>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</si>
  <si>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</si>
  <si>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</si>
  <si>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</si>
  <si>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</si>
  <si>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</si>
  <si>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</si>
  <si>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</si>
  <si>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</si>
  <si>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</si>
  <si>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</si>
  <si>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</si>
  <si>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</si>
  <si>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</si>
  <si>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</si>
  <si>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</si>
  <si>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</si>
  <si>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</si>
  <si>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</si>
  <si>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</si>
  <si>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</si>
  <si>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</si>
  <si>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</si>
  <si>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</si>
  <si>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</si>
  <si>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</si>
  <si>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</si>
  <si>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</si>
  <si>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</si>
  <si>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</si>
  <si>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</si>
  <si>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</si>
  <si>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</si>
  <si>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</si>
  <si>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</si>
  <si>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</si>
  <si>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</si>
  <si>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</si>
  <si>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</si>
  <si>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</si>
  <si>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</si>
  <si>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</si>
  <si>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</si>
  <si>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</si>
  <si>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</si>
  <si>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</si>
  <si>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</si>
  <si>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</si>
  <si>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</si>
  <si>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</si>
  <si>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</si>
  <si>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</si>
  <si>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</si>
  <si>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</si>
  <si>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</si>
  <si>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</si>
  <si>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</si>
  <si>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</si>
  <si>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</si>
  <si>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</si>
  <si>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</si>
  <si>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</si>
  <si>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</si>
  <si>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</si>
  <si>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</si>
  <si>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</si>
  <si>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</si>
  <si>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</si>
  <si>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</si>
  <si>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</si>
  <si>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</si>
  <si>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</si>
  <si>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</si>
  <si>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</si>
  <si>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</si>
  <si>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</si>
  <si>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</si>
  <si>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</si>
  <si>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</si>
  <si>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</si>
  <si>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</si>
  <si>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</si>
  <si>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</si>
  <si>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</si>
  <si>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</si>
  <si>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</si>
  <si>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</si>
  <si>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</si>
  <si>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</si>
  <si>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</si>
  <si>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</si>
  <si>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</si>
  <si>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</si>
  <si>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</si>
  <si>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</si>
  <si>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</si>
  <si>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</si>
  <si>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</si>
  <si>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</si>
  <si>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</si>
  <si>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</si>
  <si>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</si>
  <si>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</si>
  <si>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</si>
  <si>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</si>
  <si>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</si>
  <si>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</si>
  <si>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</si>
  <si>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</si>
  <si>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</si>
  <si>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</si>
  <si>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</si>
  <si>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</si>
  <si>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</si>
  <si>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</si>
  <si>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</si>
  <si>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</si>
  <si>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</si>
  <si>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</si>
  <si>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</si>
  <si>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</si>
  <si>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</si>
  <si>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</si>
  <si>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</si>
  <si>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</si>
  <si>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</si>
  <si>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</si>
  <si>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</si>
  <si>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</si>
  <si>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</si>
  <si>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</si>
  <si>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</si>
  <si>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</si>
  <si>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</si>
  <si>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</si>
  <si>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</si>
  <si>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</si>
  <si>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</si>
  <si>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</si>
  <si>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</si>
  <si>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</si>
  <si>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</si>
  <si>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</si>
  <si>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</si>
  <si>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</si>
  <si>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</si>
  <si>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</si>
  <si>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</si>
  <si>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</si>
  <si>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</si>
  <si>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</si>
  <si>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</si>
  <si>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</si>
  <si>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</si>
  <si>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</si>
  <si>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</si>
  <si>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</si>
  <si>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</si>
  <si>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</si>
  <si>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</si>
  <si>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</si>
  <si>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</si>
  <si>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</si>
  <si>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</si>
  <si>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</si>
  <si>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</si>
  <si>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</si>
  <si>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</si>
  <si>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</si>
  <si>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</si>
  <si>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</si>
  <si>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</si>
  <si>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</si>
  <si>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</si>
  <si>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</si>
  <si>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</si>
  <si>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</si>
  <si>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</si>
  <si>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</si>
  <si>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</si>
  <si>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</si>
  <si>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</si>
  <si>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</si>
  <si>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</si>
  <si>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</si>
  <si>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</si>
  <si>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</si>
  <si>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</si>
  <si>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</si>
  <si>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</si>
  <si>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</si>
  <si>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</si>
  <si>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</si>
  <si>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</si>
  <si>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</si>
  <si>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</si>
  <si>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</si>
  <si>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</si>
  <si>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</si>
  <si>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</si>
  <si>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</si>
  <si>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</si>
  <si>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</si>
  <si>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</si>
  <si>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</si>
  <si>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</si>
  <si>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</si>
  <si>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</si>
  <si>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</si>
  <si>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</si>
  <si>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</si>
  <si>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</si>
  <si>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</si>
  <si>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</si>
  <si>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</si>
  <si>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</si>
  <si>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</si>
  <si>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</si>
  <si>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</si>
  <si>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</si>
  <si>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</si>
  <si>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</si>
  <si>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</si>
  <si>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</si>
  <si>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</si>
  <si>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</si>
  <si>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</si>
  <si>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</si>
  <si>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</si>
  <si>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</si>
  <si>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</si>
  <si>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</si>
  <si>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</si>
  <si>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</si>
  <si>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</si>
  <si>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</si>
  <si>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</si>
  <si>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</si>
  <si>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</si>
  <si>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</si>
  <si>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</si>
  <si>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</si>
  <si>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</si>
  <si>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</si>
  <si>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</si>
  <si>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</si>
  <si>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</si>
  <si>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</si>
  <si>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</si>
  <si>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</si>
  <si>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</si>
  <si>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</si>
  <si>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</si>
  <si>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</si>
  <si>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</si>
  <si>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</si>
  <si>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</si>
  <si>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</si>
  <si>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</si>
  <si>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</si>
  <si>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</si>
  <si>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</si>
  <si>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</si>
  <si>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</si>
  <si>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</si>
  <si>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</si>
  <si>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</si>
  <si>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</si>
  <si>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</si>
  <si>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</si>
  <si>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</si>
  <si>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</si>
  <si>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</si>
  <si>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</si>
  <si>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</si>
  <si>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</si>
  <si>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</si>
  <si>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</si>
  <si>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</si>
  <si>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</si>
  <si>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</si>
  <si>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</si>
  <si>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</si>
  <si>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</si>
  <si>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</si>
  <si>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</si>
  <si>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</si>
  <si>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</si>
  <si>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</si>
  <si>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</si>
  <si>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</si>
  <si>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</si>
  <si>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</si>
  <si>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</si>
  <si>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</si>
  <si>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</si>
  <si>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</si>
  <si>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</si>
  <si>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</si>
  <si>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</si>
  <si>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</si>
  <si>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</si>
  <si>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</si>
  <si>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</si>
  <si>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</si>
  <si>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</si>
  <si>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</si>
  <si>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</si>
  <si>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</si>
  <si>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</si>
  <si>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</si>
  <si>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</si>
  <si>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</si>
  <si>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</si>
  <si>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</si>
  <si>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</si>
  <si>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</si>
  <si>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</si>
  <si>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</si>
  <si>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</si>
  <si>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</si>
  <si>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</si>
  <si>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</si>
  <si>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</si>
  <si>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</si>
  <si>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</si>
  <si>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</si>
  <si>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</si>
  <si>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</si>
  <si>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</si>
  <si>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</si>
  <si>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</si>
  <si>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</si>
  <si>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</si>
  <si>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</si>
  <si>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</si>
  <si>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</si>
  <si>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</si>
  <si>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</si>
  <si>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</si>
  <si>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</si>
  <si>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</si>
  <si>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</si>
  <si>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</si>
  <si>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</si>
  <si>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</si>
  <si>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</si>
  <si>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</si>
  <si>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</si>
  <si>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</si>
  <si>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</si>
  <si>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</si>
  <si>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</si>
  <si>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</si>
  <si>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</si>
  <si>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</si>
  <si>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</si>
  <si>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</si>
  <si>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</si>
  <si>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</si>
  <si>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</si>
  <si>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</si>
  <si>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</si>
  <si>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</si>
  <si>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</si>
  <si>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</si>
  <si>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</si>
  <si>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</si>
  <si>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</si>
  <si>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</si>
  <si>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</si>
  <si>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</si>
  <si>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</si>
  <si>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</si>
  <si>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</si>
  <si>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</si>
  <si>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</si>
  <si>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</si>
  <si>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</si>
  <si>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</si>
  <si>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</si>
  <si>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</si>
  <si>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</si>
  <si>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</si>
  <si>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</si>
  <si>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</si>
  <si>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</si>
  <si>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</si>
  <si>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</si>
  <si>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</si>
  <si>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</si>
  <si>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</si>
  <si>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</si>
  <si>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</si>
  <si>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</si>
  <si>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</si>
  <si>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</si>
  <si>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</si>
  <si>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</si>
  <si>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</si>
  <si>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</si>
  <si>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</si>
  <si>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</si>
  <si>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</si>
  <si>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</si>
  <si>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</si>
  <si>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</si>
  <si>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</si>
  <si>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</si>
  <si>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</si>
  <si>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</si>
  <si>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</si>
  <si>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</si>
  <si>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</si>
  <si>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</si>
  <si>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</si>
  <si>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</si>
  <si>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</si>
  <si>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</si>
  <si>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</si>
  <si>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</si>
  <si>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</si>
  <si>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</si>
  <si>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</si>
  <si>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</si>
  <si>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</si>
  <si>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</si>
  <si>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</si>
  <si>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</si>
  <si>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</si>
  <si>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</si>
  <si>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</si>
  <si>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</si>
  <si>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</si>
  <si>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</si>
  <si>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</si>
  <si>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</si>
  <si>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</si>
  <si>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</si>
  <si>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</si>
  <si>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</si>
  <si>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</si>
  <si>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</si>
  <si>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</si>
  <si>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</si>
  <si>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</si>
  <si>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</si>
  <si>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</si>
  <si>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</si>
  <si>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</si>
  <si>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</si>
  <si>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</si>
  <si>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</si>
  <si>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</si>
  <si>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</si>
  <si>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</si>
  <si>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</si>
  <si>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</si>
  <si>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</si>
  <si>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</si>
  <si>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</si>
  <si>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</si>
  <si>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</si>
  <si>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</si>
  <si>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</si>
  <si>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</si>
  <si>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</si>
  <si>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</si>
  <si>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</si>
  <si>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</si>
  <si>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</si>
  <si>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</si>
  <si>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</si>
  <si>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</si>
  <si>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</si>
  <si>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</si>
  <si>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</si>
  <si>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</si>
  <si>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</si>
  <si>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</si>
  <si>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</si>
  <si>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</si>
  <si>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</si>
  <si>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</si>
  <si>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</si>
  <si>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</si>
  <si>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</si>
  <si>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</si>
  <si>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</si>
  <si>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</si>
  <si>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</si>
  <si>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</si>
  <si>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</si>
  <si>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</si>
  <si>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</si>
  <si>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</si>
  <si>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</si>
  <si>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</si>
  <si>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</si>
  <si>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</si>
  <si>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</si>
  <si>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</si>
  <si>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</si>
  <si>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</si>
  <si>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</si>
  <si>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</si>
  <si>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</si>
  <si>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</si>
  <si>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</si>
  <si>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</si>
  <si>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</si>
  <si>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</si>
  <si>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</si>
  <si>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</si>
  <si>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</si>
  <si>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</si>
  <si>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</si>
  <si>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</si>
  <si>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</si>
  <si>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</si>
  <si>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</si>
  <si>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</si>
  <si>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</si>
  <si>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</si>
  <si>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</si>
  <si>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</si>
  <si>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</si>
  <si>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</si>
  <si>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</si>
  <si>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</si>
  <si>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</si>
  <si>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</si>
  <si>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</si>
  <si>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</si>
  <si>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</si>
  <si>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</si>
  <si>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</si>
  <si>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</si>
  <si>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</si>
  <si>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</si>
  <si>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</si>
  <si>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</si>
  <si>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</si>
  <si>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</si>
  <si>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</si>
  <si>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</si>
  <si>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</si>
  <si>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</si>
  <si>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</si>
  <si>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</si>
  <si>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</si>
  <si>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</si>
  <si>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</si>
  <si>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</si>
  <si>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</si>
  <si>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</si>
  <si>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</si>
  <si>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</si>
  <si>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</si>
  <si>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</si>
  <si>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</si>
  <si>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</si>
  <si>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</si>
  <si>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</si>
  <si>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</si>
  <si>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</si>
  <si>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</si>
  <si>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</si>
  <si>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</si>
  <si>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</si>
  <si>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</si>
  <si>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</si>
  <si>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</si>
  <si>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</si>
  <si>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</si>
  <si>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</si>
  <si>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</si>
  <si>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</si>
  <si>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</si>
  <si>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</si>
  <si>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</si>
  <si>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</si>
  <si>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</si>
  <si>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</si>
  <si>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</si>
  <si>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</si>
  <si>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</si>
  <si>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</si>
  <si>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</si>
  <si>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</si>
  <si>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</si>
  <si>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</si>
  <si>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</si>
  <si>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</si>
  <si>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</si>
  <si>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</si>
  <si>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</si>
  <si>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</si>
  <si>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</si>
  <si>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</si>
  <si>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</si>
  <si>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</si>
  <si>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</si>
  <si>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</si>
  <si>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</si>
  <si>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</si>
  <si>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</si>
  <si>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</si>
  <si>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</si>
  <si>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</si>
  <si>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</si>
  <si>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</si>
  <si>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</si>
  <si>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</si>
  <si>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</si>
  <si>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</si>
  <si>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</si>
  <si>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</si>
  <si>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</si>
  <si>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</si>
  <si>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</si>
  <si>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</si>
  <si>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</si>
  <si>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</si>
  <si>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</si>
  <si>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</si>
  <si>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</si>
  <si>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</si>
  <si>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</si>
  <si>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</si>
  <si>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</si>
  <si>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</si>
  <si>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</si>
  <si>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</si>
  <si>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</si>
  <si>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</si>
  <si>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</si>
  <si>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</si>
  <si>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</si>
  <si>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</si>
  <si>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</si>
  <si>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</si>
  <si>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</si>
  <si>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</si>
  <si>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</si>
  <si>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</si>
  <si>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</si>
  <si>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</si>
  <si>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</si>
  <si>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</si>
  <si>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</si>
  <si>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</si>
  <si>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</si>
  <si>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</si>
  <si>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</si>
  <si>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</si>
  <si>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</si>
  <si>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</si>
  <si>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</si>
  <si>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</si>
  <si>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</si>
  <si>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</si>
  <si>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</si>
  <si>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</si>
  <si>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</si>
  <si>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</si>
  <si>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</si>
  <si>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</si>
  <si>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</si>
  <si>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</si>
  <si>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</si>
  <si>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</si>
  <si>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</si>
  <si>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</si>
  <si>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</si>
  <si>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</si>
  <si>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</si>
  <si>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</si>
  <si>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</si>
  <si>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</si>
  <si>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</si>
  <si>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</si>
  <si>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</si>
  <si>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</si>
  <si>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</si>
  <si>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</si>
  <si>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</si>
  <si>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</si>
  <si>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</si>
  <si>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</si>
  <si>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</si>
  <si>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</si>
  <si>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</si>
  <si>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</si>
  <si>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</si>
  <si>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</si>
  <si>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</si>
  <si>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</si>
  <si>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</si>
  <si>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</si>
  <si>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</si>
  <si>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</si>
  <si>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</si>
  <si>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</si>
  <si>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</si>
  <si>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</si>
  <si>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</si>
  <si>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</si>
  <si>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</si>
  <si>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</si>
  <si>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</si>
  <si>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</si>
  <si>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</si>
  <si>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</si>
  <si>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</si>
  <si>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</si>
  <si>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</si>
  <si>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</si>
  <si>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</si>
  <si>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</si>
  <si>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</si>
  <si>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</si>
  <si>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</si>
  <si>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</si>
  <si>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</si>
  <si>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</si>
  <si>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</si>
  <si>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</si>
  <si>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</si>
  <si>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</si>
  <si>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</si>
  <si>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</si>
  <si>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</si>
  <si>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</si>
  <si>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</si>
  <si>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</si>
  <si>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</si>
  <si>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</si>
  <si>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</si>
  <si>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</si>
  <si>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</si>
  <si>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</si>
  <si>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</si>
  <si>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</si>
  <si>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</si>
  <si>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</si>
  <si>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</si>
  <si>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</si>
  <si>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</si>
  <si>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</si>
  <si>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</si>
  <si>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</si>
  <si>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</si>
  <si>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</si>
  <si>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</si>
  <si>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</si>
  <si>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</si>
  <si>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</si>
  <si>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</si>
  <si>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</si>
  <si>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</si>
  <si>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</si>
  <si>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</si>
  <si>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</si>
  <si>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</si>
  <si>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</si>
  <si>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</si>
  <si>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</si>
  <si>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</si>
  <si>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</si>
  <si>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</si>
  <si>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</si>
  <si>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</si>
  <si>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</si>
  <si>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</si>
  <si>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</si>
  <si>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</si>
  <si>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</si>
  <si>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</si>
  <si>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</si>
  <si>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</si>
  <si>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</si>
  <si>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</si>
  <si>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</si>
  <si>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</si>
  <si>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</si>
  <si>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</si>
  <si>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</si>
  <si>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</si>
  <si>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</si>
  <si>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</si>
  <si>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</si>
  <si>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</si>
  <si>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</si>
  <si>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</si>
  <si>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</si>
  <si>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</si>
  <si>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</si>
  <si>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</si>
  <si>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</si>
  <si>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</si>
  <si>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</si>
  <si>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</si>
  <si>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</si>
  <si>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</si>
  <si>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</si>
  <si>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</si>
  <si>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</si>
  <si>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</si>
  <si>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</si>
  <si>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</si>
  <si>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</si>
  <si>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</si>
  <si>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</si>
  <si>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</si>
  <si>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</si>
  <si>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</si>
  <si>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</si>
  <si>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</si>
  <si>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</si>
  <si>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</si>
  <si>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</si>
  <si>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</si>
  <si>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</si>
  <si>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</si>
  <si>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</si>
  <si>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</si>
  <si>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</si>
  <si>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</si>
  <si>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</si>
  <si>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</si>
  <si>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</si>
  <si>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</si>
  <si>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</si>
  <si>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</si>
  <si>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</si>
  <si>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</si>
  <si>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</si>
  <si>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</si>
  <si>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</si>
  <si>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</si>
  <si>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</si>
  <si>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</si>
  <si>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</si>
  <si>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</si>
  <si>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</si>
  <si>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</si>
  <si>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</si>
  <si>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</si>
  <si>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</si>
  <si>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</si>
  <si>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</si>
  <si>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</si>
  <si>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</si>
  <si>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</si>
  <si>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</si>
  <si>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</si>
  <si>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</si>
  <si>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</si>
  <si>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</si>
  <si>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</si>
  <si>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</si>
  <si>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</si>
  <si>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</si>
  <si>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</si>
  <si>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</si>
  <si>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</si>
  <si>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</si>
  <si>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</si>
  <si>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</si>
  <si>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</si>
  <si>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</si>
  <si>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</si>
  <si>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</si>
  <si>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</si>
  <si>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</si>
  <si>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</si>
  <si>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</si>
  <si>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</si>
  <si>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</si>
  <si>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</si>
  <si>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</si>
  <si>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</si>
  <si>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</si>
  <si>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</si>
  <si>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</si>
  <si>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</si>
  <si>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</si>
  <si>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</si>
  <si>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</si>
  <si>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</si>
  <si>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</si>
  <si>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</si>
  <si>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</si>
  <si>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</si>
  <si>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</si>
  <si>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</si>
  <si>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</si>
  <si>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</si>
  <si>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</si>
  <si>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</si>
  <si>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</si>
  <si>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</si>
  <si>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</si>
  <si>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</si>
  <si>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</si>
  <si>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</si>
  <si>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</si>
  <si>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</si>
  <si>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</si>
  <si>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</si>
  <si>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</si>
  <si>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</si>
  <si>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</si>
  <si>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</si>
  <si>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</si>
  <si>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</si>
  <si>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</si>
  <si>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</si>
  <si>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</si>
  <si>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</si>
  <si>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</si>
  <si>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</si>
  <si>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</si>
  <si>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</si>
  <si>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</si>
  <si>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</si>
  <si>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</si>
  <si>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</si>
  <si>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</si>
  <si>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</si>
  <si>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</si>
  <si>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</si>
  <si>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</si>
  <si>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</si>
  <si>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</si>
  <si>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</si>
  <si>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</si>
  <si>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</si>
  <si>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</si>
  <si>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</si>
  <si>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</si>
  <si>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</si>
  <si>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</si>
  <si>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</si>
  <si>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</si>
  <si>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</si>
  <si>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</si>
  <si>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</si>
  <si>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</si>
  <si>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</si>
  <si>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</si>
  <si>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</si>
  <si>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</si>
  <si>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</si>
  <si>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</si>
  <si>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</si>
  <si>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</si>
  <si>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</si>
  <si>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</si>
  <si>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</si>
  <si>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</si>
  <si>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</si>
  <si>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</si>
  <si>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</si>
  <si>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</si>
  <si>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</si>
  <si>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</si>
  <si>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</si>
  <si>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</si>
  <si>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</si>
  <si>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</si>
  <si>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</si>
  <si>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</si>
  <si>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</si>
  <si>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</si>
  <si>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</si>
  <si>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</si>
  <si>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</si>
  <si>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</si>
  <si>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</si>
  <si>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</si>
  <si>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</si>
  <si>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</si>
  <si>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</si>
  <si>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</si>
  <si>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</si>
  <si>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</si>
  <si>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</si>
  <si>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</si>
  <si>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</si>
  <si>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</si>
  <si>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</si>
  <si>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</si>
  <si>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</si>
  <si>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</si>
  <si>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</si>
  <si>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</si>
  <si>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</si>
  <si>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</si>
  <si>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</si>
  <si>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</si>
  <si>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</si>
  <si>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</si>
  <si>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</si>
  <si>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</si>
  <si>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</si>
  <si>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</si>
  <si>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</si>
  <si>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</si>
  <si>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</si>
  <si>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</si>
  <si>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</si>
  <si>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</si>
  <si>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</si>
  <si>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</si>
  <si>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</si>
  <si>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</si>
  <si>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</si>
  <si>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</si>
  <si>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</si>
  <si>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</si>
  <si>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</si>
  <si>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</si>
  <si>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</si>
  <si>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</si>
  <si>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</si>
  <si>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</si>
  <si>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</si>
  <si>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</si>
  <si>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</si>
  <si>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</si>
  <si>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</si>
  <si>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</si>
  <si>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</si>
  <si>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</si>
  <si>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</si>
  <si>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</si>
  <si>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</si>
  <si>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</si>
  <si>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</si>
  <si>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</si>
  <si>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</si>
  <si>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</si>
  <si>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</si>
  <si>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</si>
  <si>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</si>
  <si>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</si>
  <si>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</si>
  <si>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</si>
  <si>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</si>
  <si>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</si>
  <si>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</si>
  <si>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</si>
  <si>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</si>
  <si>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</si>
  <si>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</si>
  <si>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</si>
  <si>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</si>
  <si>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</si>
  <si>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</si>
  <si>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</si>
  <si>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</si>
  <si>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</si>
  <si>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</si>
  <si>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</si>
  <si>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</si>
  <si>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</si>
  <si>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</si>
  <si>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</si>
  <si>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</si>
  <si>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</si>
  <si>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</si>
  <si>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</si>
  <si>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</si>
  <si>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</si>
  <si>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</si>
  <si>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</si>
  <si>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</si>
  <si>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</si>
  <si>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</si>
  <si>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</si>
  <si>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</si>
  <si>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</si>
  <si>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</si>
  <si>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</si>
  <si>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</si>
  <si>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</si>
  <si>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</si>
  <si>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</si>
  <si>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</si>
  <si>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</si>
  <si>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</si>
  <si>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</si>
  <si>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</si>
  <si>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</si>
  <si>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</si>
  <si>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</si>
  <si>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</si>
  <si>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</si>
  <si>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</si>
  <si>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</si>
  <si>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</si>
  <si>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</si>
  <si>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</si>
  <si>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</si>
  <si>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</si>
  <si>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</si>
  <si>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</si>
  <si>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</si>
  <si>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</si>
  <si>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</si>
  <si>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</si>
  <si>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</si>
  <si>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</si>
  <si>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</si>
  <si>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</si>
  <si>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</si>
  <si>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</si>
  <si>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</si>
  <si>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</si>
  <si>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</si>
  <si>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</si>
  <si>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</si>
  <si>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</si>
  <si>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</si>
  <si>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</si>
  <si>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</si>
  <si>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</si>
  <si>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</si>
  <si>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</si>
  <si>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</si>
  <si>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</si>
  <si>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</si>
  <si>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</si>
  <si>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</si>
  <si>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</si>
  <si>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</si>
  <si>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</si>
  <si>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</si>
  <si>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</si>
  <si>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</si>
  <si>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</si>
  <si>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</si>
  <si>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</si>
  <si>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</si>
  <si>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</si>
  <si>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</si>
  <si>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</si>
  <si>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</si>
  <si>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</si>
  <si>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</si>
  <si>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</si>
  <si>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</si>
  <si>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</si>
  <si>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</si>
  <si>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</si>
  <si>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</si>
  <si>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</si>
  <si>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</si>
  <si>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</si>
  <si>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</si>
  <si>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</si>
  <si>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</si>
  <si>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</si>
  <si>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</si>
  <si>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</si>
  <si>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</si>
  <si>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</si>
  <si>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</si>
  <si>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</si>
  <si>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</si>
  <si>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</si>
  <si>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</si>
  <si>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</si>
  <si>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</si>
  <si>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</si>
  <si>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</si>
  <si>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</si>
  <si>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</si>
  <si>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</si>
  <si>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</si>
  <si>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</si>
  <si>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</si>
  <si>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</si>
  <si>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</si>
  <si>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</si>
  <si>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</si>
  <si>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</si>
  <si>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</si>
  <si>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</si>
  <si>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</si>
  <si>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</si>
  <si>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</si>
  <si>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</si>
  <si>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</si>
  <si>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</si>
  <si>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</si>
  <si>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</si>
  <si>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</si>
  <si>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</si>
  <si>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</si>
  <si>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</si>
  <si>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</si>
  <si>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</si>
  <si>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</si>
  <si>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</si>
  <si>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</si>
  <si>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</si>
  <si>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</si>
  <si>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</si>
  <si>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</si>
  <si>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</si>
  <si>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</si>
  <si>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</si>
  <si>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</si>
  <si>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</si>
  <si>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</si>
  <si>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</si>
  <si>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</si>
  <si>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</si>
  <si>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</si>
  <si>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</si>
  <si>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</si>
  <si>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</si>
  <si>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</si>
  <si>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</si>
  <si>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</si>
  <si>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</si>
  <si>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</si>
  <si>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</si>
  <si>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</si>
  <si>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</si>
  <si>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</si>
  <si>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</si>
  <si>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</si>
  <si>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</si>
  <si>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</si>
  <si>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</si>
  <si>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</si>
  <si>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</si>
  <si>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</si>
  <si>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</si>
  <si>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</si>
  <si>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</si>
  <si>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</si>
  <si>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</si>
  <si>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</si>
  <si>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</si>
  <si>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</si>
  <si>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</si>
  <si>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</si>
  <si>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</si>
  <si>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</si>
  <si>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</si>
  <si>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</si>
  <si>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</si>
  <si>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</si>
  <si>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</si>
  <si>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</si>
  <si>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</si>
  <si>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</si>
  <si>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</si>
  <si>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</si>
  <si>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</si>
  <si>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</si>
  <si>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</si>
  <si>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</si>
  <si>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</si>
  <si>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</si>
  <si>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</si>
  <si>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</si>
  <si>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</si>
  <si>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</si>
  <si>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</si>
  <si>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</si>
  <si>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</si>
  <si>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</si>
  <si>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</si>
  <si>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</si>
  <si>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</si>
  <si>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</si>
  <si>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</si>
  <si>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</si>
  <si>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</si>
  <si>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</si>
  <si>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</si>
  <si>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</si>
  <si>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</si>
  <si>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</si>
  <si>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</si>
  <si>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</si>
  <si>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</si>
  <si>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</si>
  <si>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</si>
  <si>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</si>
  <si>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</si>
  <si>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</si>
  <si>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</si>
  <si>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</si>
  <si>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</si>
  <si>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</si>
  <si>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</si>
  <si>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</si>
  <si>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</si>
  <si>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</si>
  <si>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</si>
  <si>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</si>
  <si>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</si>
  <si>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</si>
  <si>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</si>
  <si>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</si>
  <si>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</si>
  <si>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</si>
  <si>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</si>
  <si>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</si>
  <si>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</si>
  <si>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</si>
  <si>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</si>
  <si>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</si>
  <si>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</si>
  <si>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</si>
  <si>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</si>
  <si>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</si>
  <si>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</si>
  <si>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</si>
  <si>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</si>
  <si>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</si>
  <si>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</si>
  <si>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</si>
  <si>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</si>
  <si>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</si>
  <si>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</si>
  <si>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</si>
  <si>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</si>
  <si>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</si>
  <si>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</si>
  <si>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</si>
  <si>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</si>
  <si>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</si>
  <si>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</si>
  <si>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</si>
  <si>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</si>
  <si>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</si>
  <si>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</si>
  <si>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</si>
  <si>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</si>
  <si>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</si>
  <si>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</si>
  <si>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</si>
  <si>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</si>
  <si>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</si>
  <si>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</si>
  <si>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</si>
  <si>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</si>
  <si>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</si>
  <si>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</si>
  <si>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</si>
  <si>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</si>
  <si>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</si>
  <si>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</si>
  <si>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</si>
  <si>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</si>
  <si>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</si>
  <si>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</si>
  <si>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</si>
  <si>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</si>
  <si>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</si>
  <si>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</si>
  <si>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</si>
  <si>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</si>
  <si>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</si>
  <si>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</si>
  <si>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</si>
  <si>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</si>
  <si>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</si>
  <si>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</si>
  <si>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</si>
  <si>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</si>
  <si>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</si>
  <si>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</si>
  <si>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</si>
  <si>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</si>
  <si>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</si>
  <si>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</si>
  <si>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</si>
  <si>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</si>
  <si>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</si>
  <si>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</si>
  <si>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</si>
  <si>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</si>
  <si>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</si>
  <si>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</si>
  <si>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</si>
  <si>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</si>
  <si>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</si>
  <si>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</si>
  <si>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</si>
  <si>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</si>
  <si>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</si>
  <si>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</si>
  <si>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</si>
  <si>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</si>
  <si>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</si>
  <si>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</si>
  <si>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</si>
  <si>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</si>
  <si>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</si>
  <si>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</si>
  <si>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</si>
  <si>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</si>
  <si>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</si>
  <si>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</si>
  <si>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</si>
  <si>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</si>
  <si>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</si>
  <si>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</si>
  <si>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</si>
  <si>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</si>
  <si>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</si>
  <si>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</si>
  <si>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</si>
  <si>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</si>
  <si>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</si>
  <si>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</si>
  <si>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</si>
  <si>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</si>
  <si>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</si>
  <si>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</si>
  <si>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</si>
  <si>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</si>
  <si>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</si>
  <si>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</si>
  <si>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</si>
  <si>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</si>
  <si>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</si>
  <si>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</si>
  <si>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</si>
  <si>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</si>
  <si>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</si>
  <si>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</si>
  <si>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</si>
  <si>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</si>
  <si>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</si>
  <si>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</si>
  <si>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</si>
  <si>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</si>
  <si>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</si>
  <si>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</si>
  <si>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</si>
  <si>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</si>
  <si>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</si>
  <si>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</si>
  <si>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</si>
  <si>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</si>
  <si>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</si>
  <si>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</si>
  <si>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</si>
  <si>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</si>
  <si>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</si>
  <si>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</si>
  <si>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</si>
  <si>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</si>
  <si>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</si>
  <si>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</si>
  <si>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</si>
  <si>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</si>
  <si>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</si>
  <si>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</si>
  <si>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</si>
  <si>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</si>
  <si>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</si>
  <si>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</si>
  <si>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</si>
  <si>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</si>
  <si>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</si>
  <si>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</si>
  <si>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</si>
  <si>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</si>
  <si>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</si>
  <si>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</si>
  <si>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</si>
  <si>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</si>
  <si>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</si>
  <si>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</si>
  <si>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</si>
  <si>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</si>
  <si>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</si>
  <si>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</si>
  <si>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</si>
  <si>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</si>
  <si>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</si>
  <si>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</si>
  <si>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</si>
  <si>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</si>
  <si>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</si>
  <si>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</si>
  <si>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</si>
  <si>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</si>
  <si>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</si>
  <si>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</si>
  <si>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</si>
  <si>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</si>
  <si>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</si>
  <si>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</si>
  <si>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</si>
  <si>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</si>
  <si>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</si>
  <si>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</si>
  <si>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</si>
  <si>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</si>
  <si>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</si>
  <si>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</si>
  <si>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</si>
  <si>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</si>
  <si>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</si>
  <si>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</si>
  <si>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</si>
  <si>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</si>
  <si>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</si>
  <si>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</si>
  <si>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</si>
  <si>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</si>
  <si>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</si>
  <si>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</si>
  <si>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</si>
  <si>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</si>
  <si>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</si>
  <si>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</si>
  <si>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</si>
  <si>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</si>
  <si>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</si>
  <si>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</si>
  <si>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</si>
  <si>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</si>
  <si>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</si>
  <si>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</si>
  <si>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</si>
  <si>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</si>
  <si>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</si>
  <si>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</si>
  <si>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</si>
  <si>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</si>
  <si>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</si>
  <si>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</si>
  <si>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</si>
  <si>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</si>
  <si>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</si>
  <si>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</si>
  <si>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</si>
  <si>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</si>
  <si>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</si>
  <si>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</si>
  <si>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</si>
  <si>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</si>
  <si>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</si>
  <si>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</si>
  <si>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</si>
  <si>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</si>
  <si>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</si>
  <si>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</si>
  <si>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</si>
  <si>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</si>
  <si>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</si>
  <si>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</si>
  <si>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</si>
  <si>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</si>
  <si>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</si>
  <si>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</si>
  <si>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</si>
  <si>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</si>
  <si>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</si>
  <si>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</si>
  <si>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</si>
  <si>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</si>
  <si>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</si>
  <si>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</si>
  <si>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</si>
  <si>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</si>
  <si>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</si>
  <si>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</si>
  <si>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</si>
  <si>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</si>
  <si>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</si>
  <si>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</si>
  <si>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</si>
  <si>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</si>
  <si>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</si>
  <si>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</si>
  <si>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</si>
  <si>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</si>
  <si>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</si>
  <si>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</si>
  <si>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</si>
  <si>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</si>
  <si>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</si>
  <si>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</si>
  <si>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</si>
  <si>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</si>
  <si>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</si>
  <si>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</si>
  <si>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</si>
  <si>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</si>
  <si>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</si>
  <si>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</si>
  <si>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</si>
  <si>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</si>
  <si>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</si>
  <si>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</si>
  <si>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</si>
  <si>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</si>
  <si>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</si>
  <si>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</si>
  <si>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</si>
  <si>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</si>
  <si>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</si>
  <si>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</si>
  <si>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</si>
  <si>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</si>
  <si>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</si>
  <si>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</si>
  <si>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</si>
  <si>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</si>
  <si>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</si>
  <si>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</si>
  <si>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</si>
  <si>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</si>
  <si>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</si>
  <si>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</si>
  <si>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</si>
  <si>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</si>
  <si>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</si>
  <si>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</si>
  <si>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</si>
  <si>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</si>
  <si>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</si>
  <si>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</si>
  <si>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</si>
  <si>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</si>
  <si>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</si>
  <si>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</si>
  <si>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</si>
  <si>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</si>
  <si>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</si>
  <si>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</si>
  <si>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</si>
  <si>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</si>
  <si>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</si>
  <si>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</si>
  <si>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</si>
  <si>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</si>
  <si>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</si>
  <si>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</si>
  <si>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</si>
  <si>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</si>
  <si>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</si>
  <si>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</si>
  <si>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</si>
  <si>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</si>
  <si>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</si>
  <si>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</si>
  <si>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</si>
  <si>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</si>
  <si>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</si>
  <si>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</si>
  <si>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</si>
  <si>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</si>
  <si>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</si>
  <si>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</si>
  <si>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</si>
  <si>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</si>
  <si>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</si>
  <si>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</si>
  <si>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</si>
  <si>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</si>
  <si>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</si>
  <si>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</si>
  <si>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</si>
  <si>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</si>
  <si>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</si>
  <si>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</si>
  <si>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</si>
  <si>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</si>
  <si>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</si>
  <si>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</si>
  <si>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</si>
  <si>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</si>
  <si>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</si>
  <si>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</si>
  <si>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</si>
  <si>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</si>
  <si>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</si>
  <si>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</si>
  <si>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</si>
  <si>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</si>
  <si>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</si>
  <si>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</si>
  <si>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</si>
  <si>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</si>
  <si>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</si>
  <si>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</si>
  <si>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</si>
  <si>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</si>
  <si>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</si>
  <si>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</si>
  <si>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</si>
  <si>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</si>
  <si>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</si>
  <si>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</si>
  <si>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</si>
  <si>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</si>
  <si>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</si>
  <si>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</si>
  <si>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</si>
  <si>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</si>
  <si>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</si>
  <si>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</si>
  <si>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</si>
  <si>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</si>
  <si>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</si>
  <si>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</si>
  <si>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</si>
  <si>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</si>
  <si>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</si>
  <si>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</si>
  <si>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</si>
  <si>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</si>
  <si>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</si>
  <si>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</si>
  <si>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</si>
  <si>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</si>
  <si>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</si>
  <si>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</si>
  <si>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</si>
  <si>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</si>
  <si>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</si>
  <si>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</si>
  <si>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</si>
  <si>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</si>
  <si>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</si>
  <si>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</si>
  <si>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</si>
  <si>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</si>
  <si>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</si>
  <si>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</si>
  <si>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</si>
  <si>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</si>
  <si>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</si>
  <si>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</si>
  <si>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</si>
  <si>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</si>
  <si>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</si>
  <si>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</si>
  <si>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</si>
  <si>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</si>
  <si>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</si>
  <si>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</si>
  <si>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</si>
  <si>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</si>
  <si>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</si>
  <si>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</si>
  <si>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</si>
  <si>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</si>
  <si>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</si>
  <si>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</si>
  <si>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</si>
  <si>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</si>
  <si>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</si>
  <si>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</si>
  <si>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</si>
  <si>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</si>
  <si>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</si>
  <si>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</si>
  <si>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</si>
  <si>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</si>
  <si>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</si>
  <si>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</si>
  <si>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</si>
  <si>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</si>
  <si>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</si>
  <si>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</si>
  <si>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</si>
  <si>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</si>
  <si>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</si>
  <si>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</si>
  <si>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</si>
  <si>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</si>
  <si>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</si>
  <si>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</si>
  <si>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</si>
  <si>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</si>
  <si>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</si>
  <si>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</si>
  <si>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</si>
  <si>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</si>
  <si>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</si>
  <si>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</si>
  <si>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</si>
  <si>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</si>
  <si>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</si>
  <si>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</si>
  <si>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</si>
  <si>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</si>
  <si>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</si>
  <si>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</si>
  <si>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</si>
  <si>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</si>
  <si>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</si>
  <si>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</si>
  <si>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</si>
  <si>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</si>
  <si>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</si>
  <si>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</si>
  <si>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</si>
  <si>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</si>
  <si>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</si>
  <si>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</si>
  <si>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</si>
  <si>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</si>
  <si>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</si>
  <si>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</si>
  <si>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</si>
  <si>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</si>
  <si>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</si>
  <si>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</si>
  <si>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</si>
  <si>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</si>
  <si>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</si>
  <si>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</si>
  <si>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</si>
  <si>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</si>
  <si>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</si>
  <si>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</si>
  <si>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</si>
  <si>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</si>
  <si>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</si>
  <si>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</si>
  <si>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</si>
  <si>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</si>
  <si>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</si>
  <si>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</si>
  <si>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</si>
  <si>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</si>
  <si>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</si>
  <si>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</si>
  <si>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</si>
  <si>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</si>
  <si>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</si>
  <si>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</si>
  <si>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</si>
  <si>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</si>
  <si>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</si>
  <si>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</si>
  <si>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</si>
  <si>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</si>
  <si>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</si>
  <si>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</si>
  <si>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</si>
  <si>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</si>
  <si>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</si>
  <si>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</si>
  <si>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</si>
  <si>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</si>
  <si>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</si>
  <si>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</si>
  <si>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</si>
  <si>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</si>
  <si>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</si>
  <si>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</si>
  <si>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</si>
  <si>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</si>
  <si>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</si>
  <si>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</si>
  <si>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</si>
  <si>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</si>
  <si>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</si>
  <si>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</si>
  <si>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</si>
  <si>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</si>
  <si>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</si>
  <si>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</si>
  <si>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</si>
  <si>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</si>
  <si>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</si>
  <si>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</si>
  <si>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</si>
  <si>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</si>
  <si>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</si>
  <si>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</si>
  <si>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</si>
  <si>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</si>
  <si>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</si>
  <si>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</si>
  <si>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</si>
  <si>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</si>
  <si>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</si>
  <si>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</si>
  <si>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</si>
  <si>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</si>
  <si>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</si>
  <si>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</si>
  <si>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</si>
  <si>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</si>
  <si>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</si>
  <si>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</si>
  <si>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</si>
  <si>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</si>
  <si>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</si>
  <si>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</si>
  <si>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</si>
  <si>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</si>
  <si>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</si>
  <si>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</si>
  <si>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</si>
  <si>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</si>
  <si>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</si>
  <si>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</si>
  <si>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</si>
  <si>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</si>
  <si>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</si>
  <si>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</si>
  <si>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</si>
  <si>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</si>
  <si>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</si>
  <si>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</si>
  <si>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</si>
  <si>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</si>
  <si>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</si>
  <si>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</si>
  <si>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</si>
  <si>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</si>
  <si>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</si>
  <si>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</si>
  <si>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</si>
  <si>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</si>
  <si>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</si>
  <si>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</si>
  <si>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</si>
  <si>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</si>
  <si>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</si>
  <si>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</si>
  <si>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</si>
  <si>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</si>
  <si>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</si>
  <si>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</si>
  <si>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</si>
  <si>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</si>
  <si>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</si>
  <si>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</si>
  <si>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</si>
  <si>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</si>
  <si>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</si>
  <si>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</si>
  <si>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</si>
  <si>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</si>
  <si>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</si>
  <si>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</si>
  <si>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</si>
  <si>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</si>
  <si>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</si>
  <si>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</si>
  <si>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</si>
  <si>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</si>
  <si>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</si>
  <si>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</si>
  <si>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</si>
  <si>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</si>
  <si>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</si>
  <si>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</si>
  <si>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</si>
  <si>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</si>
  <si>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</si>
  <si>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</si>
  <si>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</si>
  <si>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</si>
  <si>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</si>
  <si>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</si>
  <si>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</si>
  <si>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</si>
  <si>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</si>
  <si>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</si>
  <si>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</si>
  <si>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</si>
  <si>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</si>
  <si>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</si>
  <si>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</si>
  <si>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</si>
  <si>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</si>
  <si>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</si>
  <si>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</si>
  <si>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</si>
  <si>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</si>
  <si>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</si>
  <si>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</si>
  <si>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</si>
  <si>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</si>
  <si>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</si>
  <si>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</si>
  <si>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</si>
  <si>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</si>
  <si>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</si>
  <si>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</si>
  <si>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</si>
  <si>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</si>
  <si>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</si>
  <si>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</si>
  <si>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</si>
  <si>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</si>
  <si>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</si>
  <si>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</si>
  <si>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</si>
  <si>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</si>
  <si>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</si>
  <si>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</si>
  <si>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</si>
  <si>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</si>
  <si>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</si>
  <si>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</si>
  <si>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</si>
  <si>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</si>
  <si>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</si>
  <si>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</si>
  <si>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</si>
  <si>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</si>
  <si>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</si>
  <si>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</si>
  <si>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</si>
  <si>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</si>
  <si>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</si>
  <si>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</si>
  <si>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</si>
  <si>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</si>
  <si>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</si>
  <si>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</si>
  <si>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</si>
  <si>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</si>
  <si>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</si>
  <si>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</si>
  <si>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</si>
  <si>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</si>
  <si>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</si>
  <si>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</si>
  <si>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</si>
  <si>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</si>
  <si>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</si>
  <si>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</si>
  <si>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</si>
  <si>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</si>
  <si>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</si>
  <si>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</si>
  <si>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</si>
  <si>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</si>
  <si>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</si>
  <si>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</si>
  <si>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</si>
  <si>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</si>
  <si>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</si>
  <si>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</si>
  <si>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</si>
  <si>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</si>
  <si>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</si>
  <si>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</si>
  <si>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</si>
  <si>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</si>
  <si>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</si>
  <si>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</si>
  <si>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</si>
  <si>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</si>
  <si>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</si>
  <si>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</si>
  <si>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</si>
  <si>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</si>
  <si>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</si>
  <si>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</si>
  <si>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</si>
  <si>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</si>
  <si>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</si>
  <si>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</si>
  <si>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</si>
  <si>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</si>
  <si>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</si>
  <si>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</si>
  <si>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</si>
  <si>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</si>
  <si>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</si>
  <si>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</si>
  <si>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</si>
  <si>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</si>
  <si>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</si>
  <si>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</si>
  <si>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</si>
  <si>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</si>
  <si>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</si>
  <si>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</si>
  <si>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</si>
  <si>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</si>
  <si>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</si>
  <si>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</si>
  <si>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</si>
  <si>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</si>
  <si>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</si>
  <si>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</si>
  <si>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</si>
  <si>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</si>
  <si>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</si>
  <si>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</si>
  <si>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</si>
  <si>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</si>
  <si>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</si>
  <si>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</si>
  <si>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</si>
  <si>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</si>
  <si>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</si>
  <si>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</si>
  <si>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</si>
  <si>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</si>
  <si>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</si>
  <si>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</si>
  <si>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</si>
  <si>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</si>
  <si>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</si>
  <si>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</si>
  <si>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</si>
  <si>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</si>
  <si>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</si>
  <si>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</si>
  <si>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</si>
  <si>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</si>
  <si>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</si>
  <si>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</si>
  <si>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</si>
  <si>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</si>
  <si>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</si>
  <si>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</si>
  <si>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</si>
  <si>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</si>
  <si>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</si>
  <si>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</si>
  <si>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</si>
  <si>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</si>
  <si>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</si>
  <si>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</si>
  <si>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</si>
  <si>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</si>
  <si>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</si>
  <si>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</si>
  <si>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</si>
  <si>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</si>
  <si>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</si>
  <si>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</si>
  <si>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</si>
  <si>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</si>
  <si>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</si>
  <si>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</si>
  <si>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</si>
  <si>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</si>
  <si>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</si>
  <si>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</si>
  <si>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</si>
  <si>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</si>
  <si>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</si>
  <si>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</si>
  <si>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</si>
  <si>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</si>
  <si>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</si>
  <si>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</si>
  <si>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</si>
  <si>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</si>
  <si>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</si>
  <si>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</si>
  <si>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</si>
  <si>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</si>
  <si>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</si>
  <si>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</si>
  <si>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</si>
  <si>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</si>
  <si>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</si>
  <si>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</si>
  <si>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</si>
  <si>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</si>
  <si>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</si>
  <si>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</si>
  <si>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</si>
  <si>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</si>
  <si>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</si>
  <si>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</si>
  <si>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</si>
  <si>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</si>
  <si>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</si>
  <si>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</si>
  <si>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</si>
  <si>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</si>
  <si>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</si>
  <si>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</si>
  <si>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</si>
  <si>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</si>
  <si>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</si>
  <si>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</si>
  <si>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</si>
  <si>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</si>
  <si>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</si>
  <si>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</si>
  <si>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</si>
  <si>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</si>
  <si>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</si>
  <si>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</si>
  <si>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</si>
  <si>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</si>
  <si>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</si>
  <si>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</si>
  <si>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</si>
  <si>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</si>
  <si>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</si>
  <si>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</si>
  <si>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</si>
  <si>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</si>
  <si>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</si>
  <si>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</si>
  <si>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</si>
  <si>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</si>
  <si>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</si>
  <si>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</si>
  <si>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</si>
  <si>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</si>
  <si>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</si>
  <si>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</si>
  <si>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</si>
  <si>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</si>
  <si>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</si>
  <si>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</si>
  <si>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</si>
  <si>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</si>
  <si>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</si>
  <si>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</si>
  <si>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</si>
  <si>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</si>
  <si>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</si>
  <si>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</si>
  <si>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</si>
  <si>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</si>
  <si>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</si>
  <si>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</si>
  <si>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</si>
  <si>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</si>
  <si>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</si>
  <si>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</si>
  <si>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</si>
  <si>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</si>
  <si>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</si>
  <si>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</si>
  <si>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</si>
  <si>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</si>
  <si>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</si>
  <si>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</si>
  <si>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</si>
  <si>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</si>
  <si>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</si>
  <si>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</si>
  <si>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</si>
  <si>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</si>
  <si>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</si>
  <si>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</si>
  <si>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</si>
  <si>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</si>
  <si>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</si>
  <si>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</si>
  <si>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</si>
  <si>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</si>
  <si>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</si>
  <si>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</si>
  <si>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</si>
  <si>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</si>
  <si>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</si>
  <si>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</si>
  <si>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</si>
  <si>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</si>
  <si>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</si>
  <si>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</si>
  <si>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</si>
  <si>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</si>
  <si>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</si>
  <si>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</si>
  <si>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</si>
  <si>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</si>
  <si>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</si>
  <si>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</si>
  <si>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</si>
  <si>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</si>
  <si>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</si>
  <si>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</si>
  <si>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</si>
  <si>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</si>
  <si>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</si>
  <si>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</si>
  <si>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</si>
  <si>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</si>
  <si>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</si>
  <si>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</si>
  <si>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</si>
  <si>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</si>
  <si>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</si>
  <si>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</si>
  <si>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</si>
  <si>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</si>
  <si>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</si>
  <si>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</si>
  <si>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</si>
  <si>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</si>
  <si>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</si>
  <si>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</si>
  <si>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</si>
  <si>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</si>
  <si>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</si>
  <si>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</si>
  <si>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</si>
  <si>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</si>
  <si>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</si>
  <si>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</si>
  <si>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</si>
  <si>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</si>
  <si>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</si>
  <si>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</si>
  <si>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</si>
  <si>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</si>
  <si>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</si>
  <si>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</si>
  <si>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</si>
  <si>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</si>
  <si>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</si>
  <si>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</si>
  <si>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</si>
  <si>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</si>
  <si>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</si>
  <si>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</si>
  <si>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</si>
  <si>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</si>
  <si>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</si>
  <si>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</si>
  <si>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</si>
  <si>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</si>
  <si>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</si>
  <si>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</si>
  <si>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</si>
  <si>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</si>
  <si>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</si>
  <si>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</si>
  <si>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</si>
  <si>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</si>
  <si>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</si>
  <si>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</si>
  <si>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</si>
  <si>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</si>
  <si>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</si>
  <si>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</si>
  <si>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</si>
  <si>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</si>
  <si>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</si>
  <si>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</si>
  <si>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</si>
  <si>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</si>
  <si>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</si>
  <si>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</si>
  <si>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</si>
  <si>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</si>
  <si>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</si>
  <si>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</si>
  <si>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</si>
  <si>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</si>
  <si>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</si>
  <si>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</si>
  <si>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</si>
  <si>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</si>
  <si>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</si>
  <si>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</si>
  <si>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</si>
  <si>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</si>
  <si>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</si>
  <si>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</si>
  <si>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</si>
  <si>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</si>
  <si>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</si>
  <si>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</si>
  <si>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</si>
  <si>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</si>
  <si>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</si>
  <si>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</si>
  <si>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</si>
  <si>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</si>
  <si>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</si>
  <si>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</si>
  <si>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</si>
  <si>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</si>
  <si>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</si>
  <si>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</si>
  <si>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</si>
  <si>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</si>
  <si>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</si>
  <si>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</si>
  <si>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</si>
  <si>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</si>
  <si>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</si>
  <si>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</si>
  <si>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</si>
  <si>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</si>
  <si>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</si>
  <si>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</si>
  <si>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</si>
  <si>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</si>
  <si>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</si>
  <si>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</si>
  <si>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</si>
  <si>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</si>
  <si>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</si>
  <si>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</si>
  <si>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</si>
  <si>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</si>
  <si>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</si>
  <si>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</si>
  <si>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</si>
  <si>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</si>
  <si>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</si>
  <si>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</si>
  <si>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</si>
  <si>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</si>
  <si>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</si>
  <si>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</si>
  <si>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</si>
  <si>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</si>
  <si>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</si>
  <si>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</si>
  <si>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</si>
  <si>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</si>
  <si>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</si>
  <si>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</si>
  <si>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</si>
  <si>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</si>
  <si>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</si>
  <si>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</si>
  <si>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</si>
  <si>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</si>
  <si>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</si>
  <si>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</si>
  <si>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</si>
  <si>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</si>
  <si>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</si>
  <si>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</si>
  <si>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</si>
  <si>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</si>
  <si>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</si>
  <si>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</si>
  <si>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</si>
  <si>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</si>
  <si>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</si>
  <si>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</si>
  <si>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</si>
  <si>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</si>
  <si>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</si>
  <si>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</si>
  <si>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</si>
  <si>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</si>
  <si>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</si>
  <si>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</si>
  <si>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</si>
  <si>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</si>
  <si>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</si>
  <si>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</si>
  <si>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</si>
  <si>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</si>
  <si>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</si>
  <si>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</si>
  <si>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</si>
  <si>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</si>
  <si>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</si>
  <si>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</si>
  <si>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</si>
  <si>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</si>
  <si>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</si>
  <si>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</si>
  <si>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</si>
  <si>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</si>
  <si>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</si>
  <si>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</si>
  <si>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</si>
  <si>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</si>
  <si>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</si>
  <si>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</si>
  <si>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</si>
  <si>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</si>
  <si>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</si>
  <si>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</si>
  <si>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</si>
  <si>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</si>
  <si>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</si>
  <si>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</si>
  <si>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</si>
  <si>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</si>
  <si>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</si>
  <si>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</si>
  <si>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</si>
  <si>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</si>
  <si>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</si>
  <si>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</si>
  <si>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</si>
  <si>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</si>
  <si>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</si>
  <si>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</si>
  <si>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</si>
  <si>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</si>
  <si>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</si>
  <si>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</si>
  <si>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</si>
  <si>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</si>
  <si>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</si>
  <si>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</si>
  <si>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</si>
  <si>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</si>
  <si>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</si>
  <si>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</si>
  <si>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</si>
  <si>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</si>
  <si>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</si>
  <si>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</si>
  <si>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</si>
  <si>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</si>
  <si>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</si>
  <si>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</si>
  <si>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</si>
  <si>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</si>
  <si>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</si>
  <si>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</si>
  <si>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</si>
  <si>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</si>
  <si>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</si>
  <si>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</si>
  <si>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</si>
  <si>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</si>
  <si>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</si>
  <si>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</si>
  <si>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</si>
  <si>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</si>
  <si>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</si>
  <si>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</si>
  <si>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</si>
  <si>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</si>
  <si>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</si>
  <si>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</si>
  <si>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</si>
  <si>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</si>
  <si>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</si>
  <si>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</si>
  <si>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</si>
  <si>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</si>
  <si>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</si>
  <si>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</si>
  <si>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</si>
  <si>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</si>
  <si>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</si>
  <si>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</si>
  <si>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</si>
  <si>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</si>
  <si>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</si>
  <si>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</si>
  <si>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</si>
  <si>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</si>
  <si>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</si>
  <si>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</si>
  <si>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</si>
  <si>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</si>
  <si>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</si>
  <si>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</si>
  <si>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</si>
  <si>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</si>
  <si>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</si>
  <si>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</si>
  <si>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</si>
  <si>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</si>
  <si>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</si>
  <si>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</si>
  <si>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</si>
  <si>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</si>
  <si>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</si>
  <si>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</si>
  <si>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</si>
  <si>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</si>
  <si>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</si>
  <si>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</si>
  <si>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</si>
  <si>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</si>
  <si>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</si>
  <si>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</si>
  <si>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</si>
  <si>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</si>
  <si>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</si>
  <si>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</si>
  <si>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</si>
  <si>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</si>
  <si>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</si>
  <si>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</si>
  <si>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</si>
  <si>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</si>
  <si>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</si>
  <si>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</si>
  <si>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</si>
  <si>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</si>
  <si>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</si>
  <si>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</si>
  <si>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</si>
  <si>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</si>
  <si>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</si>
  <si>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</si>
  <si>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</si>
  <si>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</si>
  <si>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</si>
  <si>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</si>
  <si>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</si>
  <si>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</si>
  <si>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</si>
  <si>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</si>
  <si>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</si>
  <si>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</si>
  <si>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</si>
  <si>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</si>
  <si>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</si>
  <si>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</si>
  <si>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</si>
  <si>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</si>
  <si>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</si>
  <si>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</si>
  <si>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</si>
  <si>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</si>
  <si>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</si>
  <si>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</si>
  <si>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</si>
  <si>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</si>
  <si>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</si>
  <si>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</si>
  <si>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</si>
  <si>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</si>
  <si>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</si>
  <si>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</si>
  <si>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</si>
  <si>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</si>
  <si>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</si>
  <si>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</si>
  <si>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</si>
  <si>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</si>
  <si>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</si>
  <si>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</si>
  <si>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</si>
  <si>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</si>
  <si>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</si>
  <si>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</si>
  <si>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</si>
  <si>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</si>
  <si>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</si>
  <si>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</si>
  <si>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</si>
  <si>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</si>
  <si>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</si>
  <si>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</si>
  <si>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</si>
  <si>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</si>
  <si>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</si>
  <si>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</si>
  <si>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</si>
  <si>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</si>
  <si>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</si>
  <si>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</si>
  <si>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</si>
  <si>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</si>
  <si>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</si>
  <si>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</si>
  <si>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</si>
  <si>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</si>
  <si>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</si>
  <si>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</si>
  <si>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</si>
  <si>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</si>
  <si>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</si>
  <si>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</si>
  <si>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</si>
  <si>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</si>
  <si>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</si>
  <si>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</si>
  <si>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</si>
  <si>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</si>
  <si>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</si>
  <si>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</si>
  <si>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</si>
  <si>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</si>
  <si>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</si>
  <si>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</si>
  <si>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</si>
  <si>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</si>
  <si>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</si>
  <si>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</si>
  <si>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</si>
  <si>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</si>
  <si>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</si>
  <si>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</si>
  <si>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</si>
  <si>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</si>
  <si>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</si>
  <si>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</si>
  <si>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</si>
  <si>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</si>
  <si>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</si>
  <si>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</si>
  <si>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</si>
  <si>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</si>
  <si>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</si>
  <si>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</si>
  <si>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</si>
  <si>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</si>
  <si>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</si>
  <si>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</si>
  <si>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</si>
  <si>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</si>
  <si>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</si>
  <si>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</si>
  <si>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</si>
  <si>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</si>
  <si>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</si>
  <si>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</si>
  <si>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</si>
  <si>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</si>
  <si>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</si>
  <si>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</si>
  <si>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</si>
  <si>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</si>
  <si>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</si>
  <si>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</si>
  <si>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</si>
  <si>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</si>
  <si>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</si>
  <si>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</si>
  <si>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</si>
  <si>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</si>
  <si>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</si>
  <si>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</si>
  <si>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</si>
  <si>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</si>
  <si>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</si>
  <si>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</si>
  <si>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</si>
  <si>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</si>
  <si>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</si>
  <si>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</si>
  <si>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</si>
  <si>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</si>
  <si>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</si>
  <si>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</si>
  <si>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</si>
  <si>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</si>
  <si>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</si>
  <si>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</si>
  <si>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</si>
  <si>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</si>
  <si>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</si>
  <si>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</si>
  <si>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</si>
  <si>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</si>
  <si>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</si>
  <si>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</si>
  <si>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</si>
  <si>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</si>
  <si>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</si>
  <si>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</si>
  <si>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</si>
  <si>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</si>
  <si>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</si>
  <si>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</si>
  <si>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</si>
  <si>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</si>
  <si>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</si>
  <si>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</si>
  <si>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</si>
  <si>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</si>
  <si>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</si>
  <si>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</si>
  <si>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</si>
  <si>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</si>
  <si>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</si>
  <si>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</si>
  <si>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</si>
  <si>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</si>
  <si>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</si>
  <si>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</si>
  <si>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</si>
  <si>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</si>
  <si>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</si>
  <si>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</si>
  <si>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</si>
  <si>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</si>
  <si>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</si>
  <si>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</si>
  <si>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</si>
  <si>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</si>
  <si>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</si>
  <si>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</si>
  <si>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</si>
  <si>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</si>
  <si>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</si>
  <si>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</si>
  <si>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</si>
  <si>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</si>
  <si>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</si>
  <si>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</si>
  <si>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</si>
  <si>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</si>
  <si>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</si>
  <si>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</si>
  <si>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</si>
  <si>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</si>
  <si>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</si>
  <si>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</si>
  <si>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</si>
  <si>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</si>
  <si>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</si>
  <si>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</si>
  <si>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</si>
  <si>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</si>
  <si>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</si>
  <si>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</si>
  <si>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</si>
  <si>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</si>
  <si>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</si>
  <si>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</si>
  <si>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</si>
  <si>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</si>
  <si>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</si>
  <si>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</si>
  <si>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</si>
  <si>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</si>
  <si>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</si>
  <si>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</si>
  <si>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</si>
  <si>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</si>
  <si>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</si>
  <si>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</si>
  <si>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</si>
  <si>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</si>
  <si>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</si>
  <si>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</si>
  <si>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</si>
  <si>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</si>
  <si>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</si>
  <si>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</si>
  <si>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</si>
  <si>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</si>
  <si>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</si>
  <si>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</si>
  <si>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</si>
  <si>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</si>
  <si>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</si>
  <si>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</si>
  <si>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</si>
  <si>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</si>
  <si>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</si>
  <si>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</si>
  <si>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</si>
  <si>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</si>
  <si>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</si>
  <si>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</si>
  <si>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</si>
  <si>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</si>
  <si>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</si>
  <si>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</si>
  <si>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</si>
  <si>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</si>
  <si>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</si>
  <si>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</si>
  <si>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</si>
  <si>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</si>
  <si>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</si>
  <si>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</si>
  <si>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</si>
  <si>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</si>
  <si>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</si>
  <si>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</si>
  <si>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</si>
  <si>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</si>
  <si>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</si>
  <si>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</si>
  <si>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</si>
  <si>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</si>
  <si>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</si>
  <si>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</si>
  <si>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</si>
  <si>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</si>
  <si>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</si>
  <si>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</si>
  <si>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</si>
  <si>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</si>
  <si>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</si>
  <si>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</si>
  <si>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</si>
  <si>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</si>
  <si>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</si>
  <si>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</si>
  <si>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</si>
  <si>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</si>
  <si>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</si>
  <si>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</si>
  <si>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</si>
  <si>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</si>
  <si>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</si>
  <si>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</si>
  <si>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</si>
  <si>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</si>
  <si>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</si>
  <si>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</si>
  <si>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</si>
  <si>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</si>
  <si>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</si>
  <si>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</si>
  <si>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</si>
  <si>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</si>
  <si>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</si>
  <si>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</si>
  <si>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</si>
  <si>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</si>
  <si>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</si>
  <si>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</si>
  <si>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</si>
  <si>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</si>
  <si>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</si>
  <si>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</si>
  <si>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</si>
  <si>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</si>
  <si>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</si>
  <si>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</si>
  <si>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</si>
  <si>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</si>
  <si>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</si>
  <si>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</si>
  <si>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</si>
  <si>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</si>
  <si>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</si>
  <si>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</si>
  <si>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</si>
  <si>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</si>
  <si>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</si>
  <si>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</si>
  <si>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</si>
  <si>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</si>
  <si>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</si>
  <si>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</si>
  <si>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</si>
  <si>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</si>
  <si>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</si>
  <si>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</si>
  <si>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</si>
  <si>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</si>
  <si>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</si>
  <si>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</si>
  <si>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</si>
  <si>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</si>
  <si>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</si>
  <si>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</si>
  <si>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</si>
  <si>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</si>
  <si>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</si>
  <si>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</si>
  <si>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</si>
  <si>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</si>
  <si>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</si>
  <si>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</si>
  <si>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</si>
  <si>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</si>
  <si>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</si>
  <si>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</si>
  <si>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</si>
  <si>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</si>
  <si>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</si>
  <si>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</si>
  <si>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</si>
  <si>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</si>
  <si>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</si>
  <si>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</si>
  <si>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</si>
  <si>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</si>
  <si>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</si>
  <si>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</si>
  <si>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</si>
  <si>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</si>
  <si>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</si>
  <si>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</si>
  <si>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</si>
  <si>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</si>
  <si>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</si>
  <si>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</si>
  <si>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</si>
  <si>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</si>
  <si>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</si>
  <si>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</si>
  <si>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</si>
  <si>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</si>
  <si>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</si>
  <si>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</si>
  <si>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</si>
  <si>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</si>
  <si>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</si>
  <si>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</si>
  <si>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</si>
  <si>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</si>
  <si>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</si>
  <si>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</si>
  <si>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</si>
  <si>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</si>
  <si>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</si>
  <si>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</si>
  <si>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</si>
  <si>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</si>
  <si>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</si>
  <si>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</si>
  <si>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</si>
  <si>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</si>
  <si>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</si>
  <si>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</si>
  <si>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</si>
  <si>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</si>
  <si>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</si>
  <si>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</si>
  <si>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</si>
  <si>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</si>
  <si>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</si>
  <si>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</si>
  <si>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</si>
  <si>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</si>
  <si>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</si>
  <si>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</si>
  <si>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</si>
  <si>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</si>
  <si>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</si>
  <si>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</si>
  <si>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</si>
  <si>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</si>
  <si>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</si>
  <si>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</si>
  <si>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</si>
  <si>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</si>
  <si>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</si>
  <si>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</si>
  <si>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</si>
  <si>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</si>
  <si>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</si>
  <si>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</si>
  <si>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</si>
  <si>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</si>
  <si>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</si>
  <si>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</si>
  <si>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</si>
  <si>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</si>
  <si>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</si>
  <si>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</si>
  <si>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</si>
  <si>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</si>
  <si>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</si>
  <si>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</si>
  <si>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</si>
  <si>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</si>
  <si>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</si>
  <si>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</si>
  <si>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</si>
  <si>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</si>
  <si>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</si>
  <si>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</si>
  <si>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</si>
  <si>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</si>
  <si>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</si>
  <si>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</si>
  <si>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</si>
  <si>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</si>
  <si>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</si>
  <si>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</si>
  <si>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</si>
  <si>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</si>
  <si>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</si>
  <si>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</si>
  <si>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</si>
  <si>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</si>
  <si>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</si>
  <si>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</si>
  <si>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</si>
  <si>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</si>
  <si>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</si>
  <si>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</si>
  <si>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</si>
  <si>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</si>
  <si>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</si>
  <si>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</si>
  <si>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</si>
  <si>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</si>
  <si>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</si>
  <si>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</si>
  <si>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</si>
  <si>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</si>
  <si>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</si>
  <si>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</si>
  <si>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</si>
  <si>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</si>
  <si>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</si>
  <si>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</si>
  <si>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</si>
  <si>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</si>
  <si>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</si>
  <si>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</si>
  <si>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</si>
  <si>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</si>
  <si>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</si>
  <si>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</si>
  <si>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</si>
  <si>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</si>
  <si>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</si>
  <si>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</si>
  <si>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</si>
  <si>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</si>
  <si>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</si>
  <si>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</si>
  <si>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</si>
  <si>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</si>
  <si>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</si>
  <si>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</si>
  <si>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</si>
  <si>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</si>
  <si>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</si>
  <si>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</si>
  <si>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</si>
  <si>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</si>
  <si>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</si>
  <si>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</si>
  <si>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</si>
  <si>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</si>
  <si>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</si>
  <si>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</si>
  <si>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</si>
  <si>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</si>
  <si>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</si>
  <si>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</si>
  <si>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</si>
  <si>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</si>
  <si>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</si>
  <si>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</si>
  <si>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</si>
  <si>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</si>
  <si>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</si>
  <si>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</si>
  <si>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</si>
  <si>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</si>
  <si>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</si>
  <si>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</si>
  <si>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</si>
  <si>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</si>
  <si>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</si>
  <si>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</si>
  <si>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</si>
  <si>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</si>
  <si>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</si>
  <si>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</si>
  <si>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</si>
  <si>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</si>
  <si>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</si>
  <si>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</si>
  <si>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</si>
  <si>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</si>
  <si>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</si>
  <si>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</si>
  <si>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</si>
  <si>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</si>
  <si>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</si>
  <si>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</si>
  <si>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</si>
  <si>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</si>
  <si>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</si>
  <si>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</si>
  <si>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</si>
  <si>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</si>
  <si>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</si>
  <si>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</si>
  <si>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</si>
  <si>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</si>
  <si>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</si>
  <si>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</si>
  <si>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</si>
  <si>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</si>
  <si>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</si>
  <si>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</si>
  <si>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</si>
  <si>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</si>
  <si>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</si>
  <si>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</si>
  <si>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</si>
  <si>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</si>
  <si>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</si>
  <si>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</si>
  <si>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</si>
  <si>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</si>
  <si>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</si>
  <si>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</si>
  <si>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</si>
  <si>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</si>
  <si>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</si>
  <si>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</si>
  <si>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</si>
  <si>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</si>
  <si>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</si>
  <si>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</si>
  <si>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</si>
  <si>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</si>
  <si>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</si>
  <si>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</si>
  <si>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</si>
  <si>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</si>
  <si>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</si>
  <si>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</si>
  <si>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</si>
  <si>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</si>
  <si>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</si>
  <si>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</si>
  <si>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</si>
  <si>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</si>
  <si>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</si>
  <si>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</si>
  <si>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</si>
  <si>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</si>
  <si>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</si>
  <si>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</si>
  <si>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</si>
  <si>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</si>
  <si>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</si>
  <si>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</si>
  <si>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</si>
  <si>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</si>
  <si>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</si>
  <si>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</si>
  <si>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</si>
  <si>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</si>
  <si>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</si>
  <si>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</si>
  <si>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</si>
  <si>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</si>
  <si>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</si>
  <si>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</si>
  <si>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</si>
  <si>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</si>
  <si>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</si>
  <si>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</si>
  <si>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</si>
  <si>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</si>
  <si>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</si>
  <si>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</si>
  <si>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</si>
  <si>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</si>
  <si>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</si>
  <si>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</si>
  <si>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</si>
  <si>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</si>
  <si>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</si>
  <si>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</si>
  <si>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</si>
  <si>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</si>
  <si>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</si>
  <si>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</si>
  <si>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</si>
  <si>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</si>
  <si>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</si>
  <si>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</si>
  <si>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</si>
  <si>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</si>
  <si>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</si>
  <si>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</si>
  <si>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</si>
  <si>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</si>
  <si>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</si>
  <si>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</si>
  <si>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</si>
  <si>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</si>
  <si>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</si>
  <si>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</si>
  <si>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</si>
  <si>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</si>
  <si>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</si>
  <si>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</si>
  <si>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</si>
  <si>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</si>
  <si>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</si>
  <si>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</si>
  <si>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</si>
  <si>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</si>
  <si>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</si>
  <si>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</si>
  <si>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</si>
  <si>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</si>
  <si>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</si>
  <si>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</si>
  <si>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</si>
  <si>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</si>
  <si>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</si>
  <si>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</si>
  <si>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</si>
  <si>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</si>
  <si>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</si>
  <si>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</si>
  <si>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</si>
  <si>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</si>
  <si>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</si>
  <si>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</si>
  <si>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</si>
  <si>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</si>
  <si>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</si>
  <si>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</si>
  <si>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</si>
  <si>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</si>
  <si>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</si>
  <si>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</si>
  <si>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</si>
  <si>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</si>
  <si>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</si>
  <si>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</si>
  <si>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</si>
  <si>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</si>
  <si>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</si>
  <si>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</si>
  <si>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</si>
  <si>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</si>
  <si>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</si>
  <si>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</si>
  <si>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</si>
  <si>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</si>
  <si>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</si>
  <si>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</si>
  <si>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</si>
  <si>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</si>
  <si>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</si>
  <si>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</si>
  <si>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</si>
  <si>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</si>
  <si>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</si>
  <si>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</si>
  <si>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</si>
  <si>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</si>
  <si>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</si>
  <si>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</si>
  <si>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</si>
  <si>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</si>
  <si>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</si>
  <si>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</si>
  <si>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</si>
  <si>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</si>
  <si>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</si>
  <si>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</si>
  <si>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</si>
  <si>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</si>
  <si>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</si>
  <si>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</si>
  <si>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</si>
  <si>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</si>
  <si>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</si>
  <si>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</si>
  <si>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</si>
  <si>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</si>
  <si>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</si>
  <si>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</si>
  <si>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</si>
  <si>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</si>
  <si>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</si>
  <si>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</si>
  <si>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</si>
  <si>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</si>
  <si>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</si>
  <si>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</si>
  <si>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</si>
  <si>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</si>
  <si>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</si>
  <si>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</si>
  <si>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</si>
  <si>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</si>
  <si>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</si>
  <si>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</si>
  <si>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</si>
  <si>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</si>
  <si>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</si>
  <si>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</si>
  <si>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</si>
  <si>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</si>
  <si>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</si>
  <si>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</si>
  <si>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</si>
  <si>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</si>
  <si>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</si>
  <si>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</si>
  <si>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</si>
  <si>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</si>
  <si>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</si>
  <si>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</si>
  <si>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</si>
  <si>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</si>
  <si>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</si>
  <si>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</si>
  <si>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</si>
  <si>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</si>
  <si>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</si>
  <si>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</si>
  <si>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</si>
  <si>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</si>
  <si>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</si>
  <si>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</si>
  <si>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</si>
  <si>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</si>
  <si>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</si>
  <si>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</si>
  <si>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</si>
  <si>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</si>
  <si>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</si>
  <si>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</si>
  <si>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</si>
  <si>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</si>
  <si>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</si>
  <si>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</si>
  <si>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</si>
  <si>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</si>
  <si>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</si>
  <si>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</si>
  <si>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</si>
  <si>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</si>
  <si>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</si>
  <si>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</si>
  <si>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</si>
  <si>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</si>
  <si>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</si>
  <si>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</si>
  <si>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</si>
  <si>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</si>
  <si>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</si>
  <si>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</si>
  <si>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</si>
  <si>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</si>
  <si>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</si>
  <si>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</si>
  <si>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</si>
  <si>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</si>
  <si>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</si>
  <si>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</si>
  <si>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</si>
  <si>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</si>
  <si>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</si>
  <si>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</si>
  <si>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</si>
  <si>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</si>
  <si>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</si>
  <si>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</si>
  <si>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</si>
  <si>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</si>
  <si>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</si>
  <si>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</si>
  <si>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</si>
  <si>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</si>
  <si>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</si>
  <si>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</si>
  <si>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</si>
  <si>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</si>
  <si>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</si>
  <si>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</si>
  <si>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</si>
  <si>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</si>
  <si>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</si>
  <si>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</si>
  <si>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</si>
  <si>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</si>
  <si>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</si>
  <si>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</si>
  <si>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</si>
  <si>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</si>
  <si>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</si>
  <si>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</si>
  <si>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</si>
  <si>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</si>
  <si>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</si>
  <si>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</si>
  <si>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</si>
  <si>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</si>
  <si>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</si>
  <si>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</si>
  <si>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</si>
  <si>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</si>
  <si>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</si>
  <si>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</si>
  <si>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</si>
  <si>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</si>
  <si>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</si>
  <si>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</si>
  <si>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</si>
  <si>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</si>
  <si>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</si>
  <si>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</si>
  <si>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</si>
  <si>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</si>
  <si>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</si>
  <si>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</si>
  <si>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</si>
  <si>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</si>
  <si>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</si>
  <si>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</si>
  <si>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</si>
  <si>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</si>
  <si>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</si>
  <si>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</si>
  <si>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</si>
  <si>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</si>
  <si>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</si>
  <si>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</si>
  <si>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</si>
  <si>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</si>
  <si>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</si>
  <si>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</si>
  <si>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</si>
  <si>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</si>
  <si>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</si>
  <si>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</si>
  <si>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</si>
  <si>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</si>
  <si>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</si>
  <si>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</si>
  <si>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</si>
  <si>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</si>
  <si>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</si>
  <si>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</si>
  <si>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</si>
  <si>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</si>
  <si>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</si>
  <si>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</si>
  <si>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</si>
  <si>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</si>
  <si>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</si>
  <si>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</si>
  <si>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</si>
  <si>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</si>
  <si>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</si>
  <si>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</si>
  <si>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</si>
  <si>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</si>
  <si>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</si>
  <si>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</si>
  <si>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</si>
  <si>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</si>
  <si>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</si>
  <si>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</si>
  <si>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</si>
  <si>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</si>
  <si>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</si>
  <si>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</si>
  <si>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</si>
  <si>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</si>
  <si>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</si>
  <si>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</si>
  <si>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</si>
  <si>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</si>
  <si>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</si>
  <si>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</si>
  <si>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</si>
  <si>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</si>
  <si>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</si>
  <si>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</si>
  <si>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</si>
  <si>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</si>
  <si>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</si>
  <si>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</si>
  <si>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</si>
  <si>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</si>
  <si>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</si>
  <si>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</si>
  <si>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</si>
  <si>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</si>
  <si>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</si>
  <si>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</si>
  <si>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</si>
  <si>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</si>
  <si>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</si>
  <si>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</si>
  <si>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</si>
  <si>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</si>
  <si>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</si>
  <si>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</si>
  <si>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</si>
  <si>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</si>
  <si>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</si>
  <si>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</si>
  <si>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</si>
  <si>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</si>
  <si>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</si>
  <si>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</si>
  <si>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</si>
  <si>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</si>
  <si>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</si>
  <si>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</si>
  <si>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</si>
  <si>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</si>
  <si>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</si>
  <si>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</si>
  <si>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</si>
  <si>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</si>
  <si>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</si>
  <si>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</si>
  <si>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</si>
  <si>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</si>
  <si>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</si>
  <si>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</si>
  <si>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</si>
  <si>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</si>
  <si>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</si>
  <si>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</si>
  <si>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</si>
  <si>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</si>
  <si>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</si>
  <si>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</si>
  <si>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</si>
  <si>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</si>
  <si>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</si>
  <si>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</si>
  <si>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</si>
  <si>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</si>
  <si>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</si>
  <si>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</si>
  <si>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</si>
  <si>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</si>
  <si>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</si>
  <si>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</si>
  <si>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</si>
  <si>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</si>
  <si>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</si>
  <si>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</si>
  <si>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</si>
  <si>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</si>
  <si>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</si>
  <si>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</si>
  <si>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</si>
  <si>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</si>
  <si>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</si>
  <si>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</si>
  <si>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</si>
  <si>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</si>
  <si>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</si>
  <si>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</si>
  <si>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</si>
  <si>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</si>
  <si>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</si>
  <si>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</si>
  <si>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</si>
  <si>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</si>
  <si>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</si>
  <si>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</si>
  <si>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</si>
  <si>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</si>
  <si>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</si>
  <si>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</si>
  <si>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</si>
  <si>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</si>
  <si>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</si>
  <si>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</si>
  <si>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</si>
  <si>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</si>
  <si>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</si>
  <si>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</si>
  <si>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</si>
  <si>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</si>
  <si>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</si>
  <si>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</si>
  <si>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</si>
  <si>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</si>
  <si>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</si>
  <si>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</si>
  <si>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</si>
  <si>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</si>
  <si>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</si>
  <si>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</si>
  <si>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</si>
  <si>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</si>
  <si>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</si>
  <si>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</si>
  <si>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</si>
  <si>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</si>
  <si>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</si>
  <si>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</si>
  <si>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</si>
  <si>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</si>
  <si>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</si>
  <si>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</si>
  <si>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</si>
  <si>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</si>
  <si>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</si>
  <si>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</si>
  <si>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</si>
  <si>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</si>
  <si>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</si>
  <si>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</si>
  <si>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</si>
  <si>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</si>
  <si>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</si>
  <si>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</si>
  <si>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</si>
  <si>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</si>
  <si>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</si>
  <si>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</si>
  <si>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</si>
  <si>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</si>
  <si>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</si>
  <si>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</si>
  <si>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</si>
  <si>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</si>
  <si>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</si>
  <si>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</si>
  <si>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</si>
  <si>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</si>
  <si>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</si>
  <si>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</si>
  <si>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</si>
  <si>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</si>
  <si>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</si>
  <si>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</si>
  <si>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</si>
  <si>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</si>
  <si>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</si>
  <si>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</si>
  <si>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</si>
  <si>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</si>
  <si>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</si>
  <si>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</si>
  <si>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</si>
  <si>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</si>
  <si>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</si>
  <si>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</si>
  <si>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</si>
  <si>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</si>
  <si>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</si>
  <si>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</si>
  <si>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</si>
  <si>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</si>
  <si>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</si>
  <si>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</si>
  <si>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</si>
  <si>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</si>
  <si>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</si>
  <si>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</si>
  <si>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</si>
  <si>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</si>
  <si>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</si>
  <si>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</si>
  <si>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</si>
  <si>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</si>
  <si>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</si>
  <si>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</si>
  <si>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</si>
  <si>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</si>
  <si>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</si>
  <si>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</si>
  <si>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</si>
  <si>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</si>
  <si>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</si>
  <si>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</si>
  <si>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</si>
  <si>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</si>
  <si>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</si>
  <si>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</si>
  <si>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</si>
  <si>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</si>
  <si>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</si>
  <si>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</si>
  <si>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</si>
  <si>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</si>
  <si>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</si>
  <si>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</si>
  <si>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</si>
  <si>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</si>
  <si>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</si>
  <si>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</si>
  <si>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</si>
  <si>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</si>
  <si>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</si>
  <si>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</si>
  <si>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</si>
  <si>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</si>
  <si>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</si>
  <si>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</si>
  <si>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</si>
  <si>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</si>
  <si>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</si>
  <si>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</si>
  <si>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</si>
  <si>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</si>
  <si>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</si>
  <si>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</si>
  <si>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</si>
  <si>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</si>
  <si>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</si>
  <si>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</si>
  <si>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</si>
  <si>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</si>
  <si>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</si>
  <si>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</si>
  <si>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</si>
  <si>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</si>
  <si>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</si>
  <si>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</si>
  <si>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</si>
  <si>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</si>
  <si>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</si>
  <si>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</si>
  <si>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</si>
  <si>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</si>
  <si>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</si>
  <si>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</si>
  <si>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</si>
  <si>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</si>
  <si>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</si>
  <si>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</si>
  <si>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</si>
  <si>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</si>
  <si>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</si>
  <si>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</si>
  <si>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</si>
  <si>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</si>
  <si>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</si>
  <si>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</si>
  <si>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</si>
  <si>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</si>
  <si>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</si>
  <si>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</si>
  <si>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</si>
  <si>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</si>
  <si>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</si>
  <si>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</si>
  <si>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</si>
  <si>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</si>
  <si>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</si>
  <si>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</si>
  <si>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</si>
  <si>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</si>
  <si>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</si>
  <si>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</si>
  <si>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</si>
  <si>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</si>
  <si>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</si>
  <si>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</si>
  <si>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</si>
  <si>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</si>
  <si>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</si>
  <si>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</si>
  <si>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</si>
  <si>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</si>
  <si>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</si>
  <si>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</si>
  <si>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</si>
  <si>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</si>
  <si>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</si>
  <si>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</si>
  <si>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</si>
  <si>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</si>
  <si>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</si>
  <si>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</si>
  <si>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</si>
  <si>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</si>
  <si>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</si>
  <si>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</si>
  <si>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</si>
  <si>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</si>
  <si>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</si>
  <si>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</si>
  <si>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</si>
  <si>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</si>
  <si>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</si>
  <si>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</si>
  <si>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</si>
  <si>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</si>
  <si>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</si>
  <si>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</si>
  <si>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</si>
  <si>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</si>
  <si>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</si>
  <si>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</si>
  <si>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</si>
  <si>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</si>
  <si>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</si>
  <si>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</si>
  <si>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</si>
  <si>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</si>
  <si>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</si>
  <si>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</si>
  <si>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</si>
  <si>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</si>
  <si>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</si>
  <si>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</si>
  <si>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</si>
  <si>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</si>
  <si>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</si>
  <si>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</si>
  <si>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</si>
  <si>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</si>
  <si>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</si>
  <si>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</si>
  <si>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</si>
  <si>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</si>
  <si>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</si>
  <si>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</si>
  <si>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</si>
  <si>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</si>
  <si>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</si>
  <si>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</si>
  <si>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</si>
  <si>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</si>
  <si>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</si>
  <si>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</si>
  <si>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</si>
  <si>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</si>
  <si>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</si>
  <si>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</si>
  <si>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</si>
  <si>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</si>
  <si>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</si>
  <si>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</si>
  <si>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</si>
  <si>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</si>
  <si>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</si>
  <si>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</si>
  <si>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</si>
  <si>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</si>
  <si>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</si>
  <si>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</si>
  <si>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</si>
  <si>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</si>
  <si>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</si>
  <si>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</si>
  <si>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</si>
  <si>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</si>
  <si>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</si>
  <si>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</si>
  <si>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</si>
  <si>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</si>
  <si>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</si>
  <si>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</si>
  <si>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</si>
  <si>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</si>
  <si>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</si>
  <si>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</si>
  <si>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</si>
  <si>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</si>
  <si>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</si>
  <si>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</si>
  <si>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</si>
  <si>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</si>
  <si>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</si>
  <si>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</si>
  <si>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</si>
  <si>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</si>
  <si>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</si>
  <si>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</si>
  <si>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</si>
  <si>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</si>
  <si>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</si>
  <si>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</si>
  <si>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</si>
  <si>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</si>
  <si>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</si>
  <si>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</si>
  <si>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</si>
  <si>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</si>
  <si>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</si>
  <si>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</si>
  <si>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</si>
  <si>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</si>
  <si>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</si>
  <si>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</si>
  <si>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</si>
  <si>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</si>
  <si>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</si>
  <si>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</si>
  <si>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</si>
  <si>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</si>
  <si>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</si>
  <si>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</si>
  <si>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</si>
  <si>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</si>
  <si>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</si>
  <si>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</si>
  <si>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</si>
  <si>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</si>
  <si>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</si>
  <si>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</si>
  <si>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</si>
  <si>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</si>
  <si>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</si>
  <si>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</si>
  <si>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</si>
  <si>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</si>
  <si>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</si>
  <si>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</si>
  <si>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</si>
  <si>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</si>
  <si>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</si>
  <si>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</si>
  <si>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</si>
  <si>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</si>
  <si>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</si>
  <si>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</si>
  <si>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</si>
  <si>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</si>
  <si>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</si>
  <si>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</si>
  <si>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</si>
  <si>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</si>
  <si>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</si>
  <si>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</si>
  <si>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</si>
  <si>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</si>
  <si>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</si>
  <si>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</si>
  <si>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</si>
  <si>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</si>
  <si>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</si>
  <si>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</si>
  <si>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</si>
  <si>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</si>
  <si>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</si>
  <si>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</si>
  <si>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</si>
  <si>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</si>
  <si>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</si>
  <si>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</si>
  <si>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</si>
  <si>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</si>
  <si>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</si>
  <si>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</si>
  <si>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</si>
  <si>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</si>
  <si>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</si>
  <si>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</si>
  <si>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</si>
  <si>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</si>
  <si>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</si>
  <si>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</si>
  <si>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</si>
  <si>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</si>
  <si>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</si>
  <si>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</si>
  <si>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</si>
  <si>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</si>
  <si>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</si>
  <si>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</si>
  <si>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</si>
  <si>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</si>
  <si>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</si>
  <si>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</si>
  <si>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</si>
  <si>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</si>
  <si>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</si>
  <si>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</si>
  <si>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</si>
  <si>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</si>
  <si>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</si>
  <si>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</si>
  <si>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</si>
  <si>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</si>
  <si>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</si>
  <si>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</si>
  <si>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</si>
  <si>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</si>
  <si>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</si>
  <si>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</si>
  <si>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</si>
  <si>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</si>
  <si>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</si>
  <si>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</si>
  <si>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</si>
  <si>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</si>
  <si>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</si>
  <si>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</si>
  <si>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</si>
  <si>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</si>
  <si>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</si>
  <si>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</si>
  <si>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</si>
  <si>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</si>
  <si>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</si>
  <si>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</si>
  <si>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</si>
  <si>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</si>
  <si>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</si>
  <si>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</si>
  <si>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</si>
  <si>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</si>
  <si>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</si>
  <si>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</si>
  <si>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</si>
  <si>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</si>
  <si>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</si>
  <si>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</si>
  <si>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</si>
  <si>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</si>
  <si>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</si>
  <si>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</si>
  <si>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</si>
  <si>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</si>
  <si>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</si>
  <si>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</si>
  <si>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</si>
  <si>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</si>
  <si>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</si>
  <si>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</si>
  <si>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</si>
  <si>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</si>
  <si>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</si>
  <si>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</si>
  <si>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</si>
  <si>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</si>
  <si>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</si>
  <si>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</si>
  <si>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</si>
  <si>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</si>
  <si>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</si>
  <si>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</si>
  <si>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</si>
  <si>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</si>
  <si>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</si>
  <si>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</si>
  <si>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</si>
  <si>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</si>
  <si>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</si>
  <si>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</si>
  <si>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</si>
  <si>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</si>
  <si>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</si>
  <si>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</si>
  <si>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</si>
  <si>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</si>
  <si>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</si>
  <si>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</si>
  <si>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</si>
  <si>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</si>
  <si>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</si>
  <si>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</si>
  <si>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</si>
  <si>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</si>
  <si>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</si>
  <si>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</si>
  <si>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</si>
  <si>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</si>
  <si>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</si>
  <si>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</si>
  <si>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</si>
  <si>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</si>
  <si>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</si>
  <si>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</si>
  <si>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</si>
  <si>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</si>
  <si>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</si>
  <si>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</si>
  <si>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</si>
  <si>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</si>
  <si>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</si>
  <si>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</si>
  <si>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</si>
  <si>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</si>
  <si>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</si>
  <si>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</si>
  <si>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</si>
  <si>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</si>
  <si>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</si>
  <si>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</si>
  <si>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</si>
  <si>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</si>
  <si>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</si>
  <si>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</si>
  <si>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</si>
  <si>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</si>
  <si>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</si>
  <si>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</si>
  <si>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</si>
  <si>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</si>
  <si>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</si>
  <si>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</si>
  <si>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</si>
  <si>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</si>
  <si>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</si>
  <si>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</si>
  <si>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</si>
  <si>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</si>
  <si>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</si>
  <si>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</si>
  <si>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</si>
  <si>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</si>
  <si>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</si>
  <si>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</si>
  <si>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</si>
  <si>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</si>
  <si>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</si>
  <si>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</si>
  <si>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</si>
  <si>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</si>
  <si>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</si>
  <si>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</si>
  <si>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</si>
  <si>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</si>
  <si>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</si>
  <si>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</si>
  <si>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</si>
  <si>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</si>
  <si>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</si>
  <si>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</si>
  <si>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</si>
  <si>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</si>
  <si>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</si>
  <si>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</si>
  <si>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</si>
  <si>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</si>
  <si>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</si>
  <si>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</si>
  <si>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</si>
  <si>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</si>
  <si>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</si>
  <si>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</si>
  <si>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</si>
  <si>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</si>
  <si>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</si>
  <si>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</si>
  <si>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</si>
  <si>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</si>
  <si>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</si>
  <si>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</si>
  <si>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</si>
  <si>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</si>
  <si>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</si>
  <si>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</si>
  <si>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</si>
  <si>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</si>
  <si>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</si>
  <si>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</si>
  <si>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</si>
  <si>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</si>
  <si>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</si>
  <si>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</si>
  <si>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</si>
  <si>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</si>
  <si>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</si>
  <si>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</si>
  <si>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</si>
  <si>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</si>
  <si>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</si>
  <si>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</si>
  <si>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</si>
  <si>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</si>
  <si>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</si>
  <si>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</si>
  <si>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</si>
  <si>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</si>
  <si>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</si>
  <si>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</si>
  <si>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</si>
  <si>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</si>
  <si>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</si>
  <si>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</si>
  <si>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</si>
  <si>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</si>
  <si>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</si>
  <si>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</si>
  <si>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</si>
  <si>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</si>
  <si>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</si>
  <si>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</si>
  <si>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</si>
  <si>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</si>
  <si>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</si>
  <si>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</si>
  <si>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</si>
  <si>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</si>
  <si>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</si>
  <si>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</si>
  <si>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</si>
  <si>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</si>
  <si>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</si>
  <si>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</si>
  <si>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</si>
  <si>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</si>
  <si>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</si>
  <si>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</si>
  <si>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</si>
  <si>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</si>
  <si>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</si>
  <si>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</si>
  <si>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</si>
  <si>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</si>
  <si>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</si>
  <si>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</si>
  <si>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</si>
  <si>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</si>
  <si>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</si>
  <si>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</si>
  <si>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</si>
  <si>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</si>
  <si>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</si>
  <si>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</si>
  <si>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</si>
  <si>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</si>
  <si>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</si>
  <si>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</si>
  <si>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</si>
  <si>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</si>
  <si>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</si>
  <si>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</si>
  <si>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</si>
  <si>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</si>
  <si>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</si>
  <si>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</si>
  <si>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</si>
  <si>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</si>
  <si>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</si>
  <si>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</si>
  <si>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</si>
  <si>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</si>
  <si>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</si>
  <si>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</si>
  <si>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</si>
  <si>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</si>
  <si>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</si>
  <si>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</si>
  <si>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</si>
  <si>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</si>
  <si>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</si>
  <si>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</si>
  <si>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</si>
  <si>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</si>
  <si>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</si>
  <si>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</si>
  <si>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</si>
  <si>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</si>
  <si>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</si>
  <si>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</si>
  <si>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</si>
  <si>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</si>
  <si>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</si>
  <si>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</si>
  <si>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</si>
  <si>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</si>
  <si>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</si>
  <si>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</si>
  <si>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</si>
  <si>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</si>
  <si>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</si>
  <si>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</si>
  <si>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</si>
  <si>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</si>
  <si>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</si>
  <si>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</si>
  <si>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</si>
  <si>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</si>
  <si>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</si>
  <si>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</si>
  <si>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</si>
  <si>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</si>
  <si>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</si>
  <si>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</si>
  <si>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</si>
  <si>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</si>
  <si>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</si>
  <si>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</si>
  <si>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</si>
  <si>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</si>
  <si>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</si>
  <si>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</si>
  <si>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</si>
  <si>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</si>
  <si>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</si>
  <si>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</si>
  <si>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</si>
  <si>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</si>
  <si>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</si>
  <si>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</si>
  <si>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</si>
  <si>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</si>
  <si>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</si>
  <si>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</si>
  <si>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</si>
  <si>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</si>
  <si>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</si>
  <si>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</si>
  <si>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</si>
  <si>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</si>
  <si>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</si>
  <si>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</si>
  <si>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</si>
  <si>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</si>
  <si>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</si>
  <si>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</si>
  <si>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</si>
  <si>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</si>
  <si>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</si>
  <si>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</si>
  <si>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</si>
  <si>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</si>
  <si>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</si>
  <si>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</si>
  <si>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</si>
  <si>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</si>
  <si>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</si>
  <si>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</si>
  <si>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</si>
  <si>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</si>
  <si>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</si>
  <si>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</si>
  <si>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</si>
  <si>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</si>
  <si>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</si>
  <si>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</si>
  <si>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</si>
  <si>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</si>
  <si>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</si>
  <si>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</si>
  <si>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</si>
  <si>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</si>
  <si>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</si>
  <si>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</si>
  <si>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</si>
  <si>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</si>
  <si>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</si>
  <si>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</si>
  <si>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</si>
  <si>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</si>
  <si>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</si>
  <si>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</si>
  <si>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</si>
  <si>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</si>
  <si>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</si>
  <si>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</si>
  <si>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</si>
  <si>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</si>
  <si>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</si>
  <si>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</si>
  <si>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</si>
  <si>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</si>
  <si>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</si>
  <si>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</si>
  <si>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</si>
  <si>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</si>
  <si>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</si>
  <si>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</si>
  <si>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</si>
  <si>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</si>
  <si>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</si>
  <si>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</si>
  <si>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</si>
  <si>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</si>
  <si>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</si>
  <si>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</si>
  <si>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</si>
  <si>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</si>
  <si>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</si>
  <si>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</si>
  <si>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</si>
  <si>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</si>
  <si>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</si>
  <si>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</si>
  <si>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</si>
  <si>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</si>
  <si>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</si>
  <si>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</si>
  <si>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</si>
  <si>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</si>
  <si>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</si>
  <si>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</si>
  <si>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</si>
  <si>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</si>
  <si>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</si>
  <si>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</si>
  <si>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</si>
  <si>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</si>
  <si>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</si>
  <si>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</si>
  <si>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</si>
  <si>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</si>
  <si>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</si>
  <si>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</si>
  <si>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</si>
  <si>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</si>
  <si>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</si>
  <si>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</si>
  <si>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</si>
  <si>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</si>
  <si>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</si>
  <si>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</si>
  <si>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</si>
  <si>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</si>
  <si>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</si>
  <si>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</si>
  <si>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</si>
  <si>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</si>
  <si>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</si>
  <si>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</si>
  <si>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</si>
  <si>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</si>
  <si>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</si>
  <si>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</si>
  <si>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</si>
  <si>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</si>
  <si>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</si>
  <si>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</si>
  <si>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</si>
  <si>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</si>
  <si>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</si>
  <si>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</si>
  <si>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</si>
  <si>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</si>
  <si>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</si>
  <si>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</si>
  <si>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</si>
  <si>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</si>
  <si>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</si>
  <si>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</si>
  <si>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</si>
  <si>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</si>
  <si>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</si>
  <si>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</si>
  <si>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</si>
  <si>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</si>
  <si>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</si>
  <si>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</si>
  <si>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</si>
  <si>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</si>
  <si>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</si>
  <si>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</si>
  <si>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</si>
  <si>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</si>
  <si>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</si>
  <si>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</si>
  <si>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</si>
  <si>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</si>
  <si>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</si>
  <si>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</si>
  <si>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</si>
  <si>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</si>
  <si>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</si>
  <si>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</si>
  <si>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</si>
  <si>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</si>
  <si>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</si>
  <si>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</si>
  <si>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</si>
  <si>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</si>
  <si>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</si>
  <si>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</si>
  <si>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</si>
  <si>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</si>
  <si>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</si>
  <si>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</si>
  <si>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</si>
  <si>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</si>
  <si>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</si>
  <si>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</si>
  <si>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</si>
  <si>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</si>
  <si>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</si>
  <si>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</si>
  <si>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</si>
  <si>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</si>
  <si>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</si>
  <si>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</si>
  <si>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</si>
  <si>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</si>
  <si>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</si>
  <si>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</si>
  <si>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</si>
  <si>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</si>
  <si>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</si>
  <si>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</si>
  <si>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</si>
  <si>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</si>
  <si>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</si>
  <si>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</si>
  <si>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</si>
  <si>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</si>
  <si>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</si>
  <si>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</si>
  <si>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</si>
  <si>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</si>
  <si>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</si>
  <si>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</si>
  <si>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</si>
  <si>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</si>
  <si>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</si>
  <si>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</si>
  <si>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</si>
  <si>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</si>
  <si>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</si>
  <si>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</si>
  <si>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</si>
  <si>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</si>
  <si>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</si>
  <si>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</si>
  <si>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</si>
  <si>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</si>
  <si>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</si>
  <si>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</si>
  <si>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</si>
  <si>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</si>
  <si>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</si>
  <si>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</si>
  <si>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</si>
  <si>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</si>
  <si>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</si>
  <si>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</si>
  <si>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</si>
  <si>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</si>
  <si>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</si>
  <si>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</si>
  <si>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</si>
  <si>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</si>
  <si>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</si>
  <si>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</si>
  <si>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</si>
  <si>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</si>
  <si>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</si>
  <si>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</si>
  <si>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</si>
  <si>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</si>
  <si>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</si>
  <si>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</si>
  <si>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</si>
  <si>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</si>
  <si>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</si>
  <si>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</si>
  <si>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</si>
  <si>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</si>
  <si>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</si>
  <si>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</si>
  <si>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</si>
  <si>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</si>
  <si>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</si>
  <si>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</si>
  <si>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</si>
  <si>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</si>
  <si>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</si>
  <si>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</si>
  <si>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</si>
  <si>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</si>
  <si>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</si>
  <si>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</si>
  <si>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</si>
  <si>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</si>
  <si>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</si>
  <si>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</si>
  <si>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</si>
  <si>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</si>
  <si>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</si>
  <si>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</si>
  <si>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</si>
  <si>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</si>
  <si>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</si>
  <si>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</si>
  <si>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</si>
  <si>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</si>
  <si>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</si>
  <si>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</si>
  <si>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</si>
  <si>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</si>
  <si>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</si>
  <si>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</si>
  <si>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</si>
  <si>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</si>
  <si>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</si>
  <si>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</si>
  <si>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</si>
  <si>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</si>
  <si>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</si>
  <si>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</si>
  <si>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</si>
  <si>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</si>
  <si>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</si>
  <si>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</si>
  <si>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</si>
  <si>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</si>
  <si>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</si>
  <si>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</si>
  <si>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</si>
  <si>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</si>
  <si>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</si>
  <si>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</si>
  <si>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</si>
  <si>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</si>
  <si>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</si>
  <si>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</si>
  <si>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</si>
  <si>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</si>
  <si>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</si>
  <si>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</si>
  <si>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</si>
  <si>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</si>
  <si>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</si>
  <si>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</si>
  <si>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</si>
  <si>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</si>
  <si>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</si>
  <si>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</si>
  <si>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</si>
  <si>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</si>
  <si>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</si>
  <si>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</si>
  <si>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</si>
  <si>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</si>
  <si>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</si>
  <si>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</si>
  <si>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</si>
  <si>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</si>
  <si>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</si>
  <si>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</si>
  <si>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</si>
  <si>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</si>
  <si>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</si>
  <si>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</si>
  <si>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</si>
  <si>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</si>
  <si>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</si>
  <si>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</si>
  <si>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</si>
  <si>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</si>
  <si>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</si>
  <si>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</si>
  <si>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</si>
  <si>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</si>
  <si>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</si>
  <si>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</si>
  <si>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</si>
  <si>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</si>
  <si>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</si>
  <si>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</si>
  <si>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</si>
  <si>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</si>
  <si>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</si>
  <si>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</si>
  <si>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</si>
  <si>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</si>
  <si>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</si>
  <si>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</si>
  <si>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</si>
  <si>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</si>
  <si>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</si>
  <si>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</si>
  <si>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</si>
  <si>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</si>
  <si>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</si>
  <si>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</si>
  <si>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</si>
  <si>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</si>
  <si>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</si>
  <si>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</si>
  <si>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</si>
  <si>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</si>
  <si>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</si>
  <si>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</si>
  <si>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</si>
  <si>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</si>
  <si>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</si>
  <si>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</si>
  <si>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</si>
  <si>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</si>
  <si>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</si>
  <si>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</si>
  <si>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</si>
  <si>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</si>
  <si>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</si>
  <si>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</si>
  <si>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</si>
  <si>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</si>
  <si>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</si>
  <si>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</si>
  <si>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</si>
  <si>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</si>
  <si>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</si>
  <si>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</si>
  <si>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</si>
  <si>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</si>
  <si>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</si>
  <si>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</si>
  <si>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</si>
  <si>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</si>
  <si>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</si>
  <si>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</si>
  <si>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</si>
  <si>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</si>
  <si>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</si>
  <si>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</si>
  <si>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</si>
  <si>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</si>
  <si>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</si>
  <si>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</si>
  <si>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</si>
  <si>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</si>
  <si>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</si>
  <si>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</si>
  <si>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</si>
  <si>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</si>
  <si>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</si>
  <si>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</si>
  <si>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</si>
  <si>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</si>
  <si>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</si>
  <si>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</si>
  <si>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</si>
  <si>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</si>
  <si>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</si>
  <si>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</si>
  <si>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</si>
  <si>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</si>
  <si>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</si>
  <si>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</si>
  <si>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</si>
  <si>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</si>
  <si>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</si>
  <si>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</si>
  <si>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</si>
  <si>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</si>
  <si>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</si>
  <si>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</si>
  <si>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</si>
  <si>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</si>
  <si>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</si>
  <si>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</si>
  <si>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</si>
  <si>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</si>
  <si>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</si>
  <si>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</si>
  <si>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</si>
  <si>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</si>
  <si>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</si>
  <si>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</si>
  <si>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</si>
  <si>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</si>
  <si>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</si>
  <si>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</si>
  <si>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</si>
  <si>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</si>
  <si>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</si>
  <si>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</si>
  <si>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</si>
  <si>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</si>
  <si>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</si>
  <si>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</si>
  <si>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</si>
  <si>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</si>
  <si>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</si>
  <si>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</si>
  <si>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</si>
  <si>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</si>
  <si>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</si>
  <si>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</si>
  <si>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</si>
  <si>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</si>
  <si>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</si>
  <si>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</si>
  <si>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</si>
  <si>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</si>
  <si>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</si>
  <si>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</si>
  <si>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</si>
  <si>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</si>
  <si>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</si>
  <si>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</si>
  <si>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</si>
  <si>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</si>
  <si>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</si>
  <si>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</si>
  <si>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</si>
  <si>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</si>
  <si>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</si>
  <si>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</si>
  <si>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</si>
  <si>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</si>
  <si>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</si>
  <si>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</si>
  <si>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</si>
  <si>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</si>
  <si>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</si>
  <si>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</si>
  <si>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</si>
  <si>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</si>
  <si>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</si>
  <si>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</si>
  <si>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</si>
  <si>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</si>
  <si>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</si>
  <si>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</si>
  <si>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</si>
  <si>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</si>
  <si>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</si>
  <si>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</si>
  <si>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</si>
  <si>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</si>
  <si>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</si>
  <si>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</si>
  <si>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</si>
  <si>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</si>
  <si>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</si>
  <si>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</si>
  <si>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</si>
  <si>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</si>
  <si>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</si>
  <si>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</si>
  <si>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</si>
  <si>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</si>
  <si>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</si>
  <si>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</si>
  <si>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</si>
  <si>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</si>
  <si>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</si>
  <si>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</si>
  <si>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</si>
  <si>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</si>
  <si>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</si>
  <si>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</si>
  <si>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</si>
  <si>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</si>
  <si>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</si>
  <si>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</si>
  <si>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</si>
  <si>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</si>
  <si>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</si>
  <si>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</si>
  <si>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</si>
  <si>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</si>
  <si>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</si>
  <si>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</si>
  <si>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</si>
  <si>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</si>
  <si>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</si>
  <si>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</si>
  <si>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</si>
  <si>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</si>
  <si>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</si>
  <si>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</si>
  <si>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</si>
  <si>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</si>
  <si>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</si>
  <si>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</si>
  <si>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</si>
  <si>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</si>
  <si>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</si>
  <si>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</si>
  <si>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</si>
  <si>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</si>
  <si>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</si>
  <si>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</si>
  <si>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</si>
  <si>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</si>
  <si>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</si>
  <si>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</si>
  <si>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</si>
  <si>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</si>
  <si>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</si>
  <si>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</si>
  <si>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</si>
  <si>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</si>
  <si>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</si>
  <si>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</si>
  <si>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</si>
  <si>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</si>
  <si>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</si>
  <si>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</si>
  <si>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</si>
  <si>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</si>
  <si>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</si>
  <si>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</si>
  <si>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</si>
  <si>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</si>
  <si>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</si>
  <si>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</si>
  <si>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</si>
  <si>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</si>
  <si>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</si>
  <si>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</si>
  <si>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</si>
  <si>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</si>
  <si>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</si>
  <si>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</si>
  <si>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</si>
  <si>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</si>
  <si>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</si>
  <si>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</si>
  <si>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</si>
  <si>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</si>
  <si>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</si>
  <si>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</si>
  <si>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</si>
  <si>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</si>
  <si>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</si>
  <si>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</si>
  <si>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</si>
  <si>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</si>
  <si>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</si>
  <si>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</si>
  <si>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</si>
  <si>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</si>
  <si>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</si>
  <si>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</si>
  <si>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</si>
  <si>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</si>
  <si>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</si>
  <si>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</si>
  <si>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</si>
  <si>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</si>
  <si>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</si>
  <si>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</si>
  <si>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</si>
  <si>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</si>
  <si>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</si>
  <si>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</si>
  <si>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</si>
  <si>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</si>
  <si>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</si>
  <si>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</si>
  <si>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</si>
  <si>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</si>
  <si>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</si>
  <si>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</si>
  <si>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</si>
  <si>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</si>
  <si>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</si>
  <si>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</si>
  <si>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</si>
  <si>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</si>
  <si>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</si>
  <si>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</si>
  <si>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</si>
  <si>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</si>
  <si>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</si>
  <si>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</si>
  <si>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</si>
  <si>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</si>
  <si>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</si>
  <si>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</si>
  <si>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</si>
  <si>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</si>
  <si>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</si>
  <si>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</si>
  <si>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</si>
  <si>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</si>
  <si>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</si>
  <si>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</si>
  <si>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</si>
  <si>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</si>
  <si>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</si>
  <si>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</si>
  <si>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</si>
  <si>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</si>
  <si>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</si>
  <si>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</si>
  <si>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</si>
  <si>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</si>
  <si>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</si>
  <si>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</si>
  <si>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</si>
  <si>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</si>
  <si>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</si>
  <si>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</si>
  <si>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</si>
  <si>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</si>
  <si>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</si>
  <si>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</si>
  <si>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</si>
  <si>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</si>
  <si>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</si>
  <si>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</si>
  <si>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</si>
  <si>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</si>
  <si>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</si>
  <si>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</si>
  <si>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</si>
  <si>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</si>
  <si>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</si>
  <si>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</si>
  <si>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</si>
  <si>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</si>
  <si>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</si>
  <si>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</si>
  <si>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</si>
  <si>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</si>
  <si>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</si>
  <si>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</si>
  <si>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</si>
  <si>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</si>
  <si>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</si>
  <si>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</si>
  <si>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</si>
  <si>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</si>
  <si>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</si>
  <si>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</si>
  <si>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</si>
  <si>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</si>
  <si>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</si>
  <si>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</si>
  <si>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</si>
  <si>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</si>
  <si>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</si>
  <si>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</si>
  <si>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</si>
  <si>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</si>
  <si>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</si>
  <si>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</si>
  <si>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</si>
  <si>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</si>
  <si>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</si>
  <si>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</si>
  <si>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</si>
  <si>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</si>
  <si>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</si>
  <si>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</si>
  <si>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</si>
  <si>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</si>
  <si>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</si>
  <si>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</si>
  <si>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</si>
  <si>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</si>
  <si>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</si>
  <si>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</si>
  <si>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</si>
  <si>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</si>
  <si>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</si>
  <si>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</si>
  <si>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</si>
  <si>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</si>
  <si>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</si>
  <si>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</si>
  <si>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</si>
  <si>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</si>
  <si>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</si>
  <si>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</si>
  <si>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</si>
  <si>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</si>
  <si>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</si>
  <si>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</si>
  <si>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</si>
  <si>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</si>
  <si>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</si>
  <si>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</si>
  <si>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</si>
  <si>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</si>
  <si>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</si>
  <si>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</si>
  <si>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</si>
  <si>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</si>
  <si>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</si>
  <si>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</si>
  <si>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</si>
  <si>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</si>
  <si>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</si>
  <si>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</si>
  <si>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</si>
  <si>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</si>
  <si>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</si>
  <si>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</si>
  <si>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</si>
  <si>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</si>
  <si>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</si>
  <si>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</si>
  <si>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</si>
  <si>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</si>
  <si>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</si>
  <si>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</si>
  <si>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</si>
  <si>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</si>
  <si>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</si>
  <si>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</si>
  <si>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</si>
  <si>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</si>
  <si>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</si>
  <si>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</si>
  <si>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</si>
  <si>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</si>
  <si>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</si>
  <si>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</si>
  <si>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</si>
  <si>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</si>
  <si>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</si>
  <si>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</si>
  <si>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</si>
  <si>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</si>
  <si>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</si>
  <si>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</si>
  <si>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</si>
  <si>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</si>
  <si>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</si>
  <si>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</si>
  <si>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</si>
  <si>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</si>
  <si>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</si>
  <si>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</si>
  <si>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</si>
  <si>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</si>
  <si>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</si>
  <si>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</si>
  <si>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</si>
  <si>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</si>
  <si>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</si>
  <si>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</si>
  <si>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</si>
  <si>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</si>
  <si>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</si>
  <si>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</si>
  <si>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</si>
  <si>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</si>
  <si>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</si>
  <si>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</si>
  <si>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</si>
  <si>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</si>
  <si>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</si>
  <si>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</si>
  <si>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</si>
  <si>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</si>
  <si>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</si>
  <si>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</si>
  <si>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</si>
  <si>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</si>
  <si>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</si>
  <si>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</si>
  <si>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</si>
  <si>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</si>
  <si>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</si>
  <si>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</si>
  <si>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</si>
  <si>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</si>
  <si>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</si>
  <si>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</si>
  <si>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</si>
  <si>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</si>
  <si>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</si>
  <si>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</si>
  <si>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</si>
  <si>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</si>
  <si>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</si>
  <si>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</si>
  <si>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</si>
  <si>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</si>
  <si>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</si>
  <si>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</si>
  <si>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</si>
  <si>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</si>
  <si>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</si>
  <si>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</si>
  <si>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</si>
  <si>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</si>
  <si>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</si>
  <si>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</si>
  <si>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</si>
  <si>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</si>
  <si>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</si>
  <si>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</si>
  <si>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</si>
  <si>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</si>
  <si>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</si>
  <si>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</si>
  <si>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</si>
  <si>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</si>
  <si>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</si>
  <si>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</si>
  <si>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</si>
  <si>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</si>
  <si>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</si>
  <si>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</si>
  <si>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</si>
  <si>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</si>
  <si>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</si>
  <si>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</si>
  <si>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</si>
  <si>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</si>
  <si>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</si>
  <si>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</si>
  <si>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</si>
  <si>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</si>
  <si>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</si>
  <si>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</si>
  <si>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</si>
  <si>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</si>
  <si>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</si>
  <si>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</si>
  <si>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</si>
  <si>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</si>
  <si>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</si>
  <si>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</si>
  <si>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</si>
  <si>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</si>
  <si>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</si>
  <si>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</si>
  <si>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</si>
  <si>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</si>
  <si>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</si>
  <si>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</si>
  <si>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</si>
  <si>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</si>
  <si>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</si>
  <si>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</si>
  <si>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</si>
  <si>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</si>
  <si>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</si>
  <si>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</si>
  <si>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</si>
  <si>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</si>
  <si>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</si>
  <si>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</si>
  <si>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</si>
  <si>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</si>
  <si>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</si>
  <si>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</si>
  <si>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</si>
  <si>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</si>
  <si>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</si>
  <si>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</si>
  <si>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</si>
  <si>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</si>
  <si>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</si>
  <si>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</si>
  <si>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</si>
  <si>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</si>
  <si>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</si>
  <si>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</si>
  <si>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</si>
  <si>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</si>
  <si>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</si>
  <si>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</si>
  <si>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</si>
  <si>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</si>
  <si>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</si>
  <si>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</si>
  <si>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</si>
  <si>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</si>
  <si>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</si>
  <si>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</si>
  <si>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</si>
  <si>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</si>
  <si>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</si>
  <si>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</si>
  <si>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</si>
  <si>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</si>
  <si>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</si>
  <si>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</si>
  <si>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</si>
  <si>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</si>
  <si>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</si>
  <si>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</si>
  <si>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</si>
  <si>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</si>
  <si>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</si>
  <si>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</si>
  <si>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</si>
  <si>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</si>
  <si>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</si>
  <si>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</si>
  <si>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</si>
  <si>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</si>
  <si>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</si>
  <si>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</si>
  <si>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</si>
  <si>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</si>
  <si>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</si>
  <si>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</si>
  <si>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</si>
  <si>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</si>
  <si>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</si>
  <si>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</si>
  <si>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</si>
  <si>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</si>
  <si>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</si>
  <si>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</si>
  <si>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</si>
  <si>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</si>
  <si>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</si>
  <si>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</si>
  <si>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</si>
  <si>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</si>
  <si>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</si>
  <si>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</si>
  <si>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</si>
  <si>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</si>
  <si>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</si>
  <si>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</si>
  <si>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</si>
  <si>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</si>
  <si>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</si>
  <si>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</si>
  <si>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</si>
  <si>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</si>
  <si>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</si>
  <si>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</si>
  <si>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</si>
  <si>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</si>
  <si>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</si>
  <si>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</si>
  <si>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</si>
  <si>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</si>
  <si>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</si>
  <si>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</si>
  <si>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</si>
  <si>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</si>
  <si>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</si>
  <si>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</si>
  <si>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</si>
  <si>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</si>
  <si>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</si>
  <si>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</si>
  <si>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</si>
  <si>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</si>
  <si>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</si>
  <si>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</si>
  <si>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</si>
  <si>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</si>
  <si>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</si>
  <si>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</si>
  <si>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</si>
  <si>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</si>
  <si>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</si>
  <si>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</si>
  <si>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</si>
  <si>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</si>
  <si>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</si>
  <si>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</si>
  <si>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</si>
  <si>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</si>
  <si>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</si>
  <si>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</si>
  <si>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</si>
  <si>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</si>
  <si>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</si>
  <si>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</si>
  <si>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</si>
  <si>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</si>
  <si>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</si>
  <si>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</si>
  <si>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</si>
  <si>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</si>
  <si>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</si>
  <si>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</si>
  <si>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</si>
  <si>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</si>
  <si>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</si>
  <si>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</si>
  <si>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</si>
  <si>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</si>
  <si>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</si>
  <si>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</si>
  <si>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</si>
  <si>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</si>
  <si>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</si>
  <si>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</si>
  <si>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</si>
  <si>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</si>
  <si>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</si>
  <si>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</si>
  <si>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</si>
  <si>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</si>
  <si>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</si>
  <si>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</si>
  <si>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</si>
  <si>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</si>
  <si>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</si>
  <si>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</si>
  <si>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</si>
  <si>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</si>
  <si>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</si>
  <si>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</si>
  <si>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</si>
  <si>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</si>
  <si>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</si>
  <si>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</si>
  <si>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</si>
  <si>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</si>
  <si>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</si>
  <si>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</si>
  <si>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</si>
  <si>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</si>
  <si>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</si>
  <si>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</si>
  <si>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</si>
  <si>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</si>
  <si>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</si>
  <si>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</si>
  <si>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</si>
  <si>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</si>
  <si>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</si>
  <si>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</si>
  <si>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</si>
  <si>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</si>
  <si>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</si>
  <si>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</si>
  <si>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</si>
  <si>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</si>
  <si>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</si>
  <si>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</si>
  <si>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</si>
  <si>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</si>
  <si>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</si>
  <si>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</si>
  <si>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</si>
  <si>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</si>
  <si>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</si>
  <si>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</si>
  <si>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</si>
  <si>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</si>
  <si>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</si>
  <si>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</si>
  <si>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</si>
  <si>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</si>
  <si>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</si>
  <si>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</si>
  <si>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</si>
  <si>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</si>
  <si>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</si>
  <si>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</si>
  <si>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</si>
  <si>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</si>
  <si>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</si>
  <si>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</si>
  <si>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</si>
  <si>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</si>
  <si>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</si>
  <si>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</si>
  <si>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</si>
  <si>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</si>
  <si>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</si>
  <si>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</si>
  <si>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</si>
  <si>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</si>
  <si>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</si>
  <si>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</si>
  <si>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</si>
  <si>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</si>
  <si>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</si>
  <si>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</si>
  <si>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</si>
  <si>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</si>
  <si>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</si>
  <si>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</si>
  <si>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</si>
  <si>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</si>
  <si>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</si>
  <si>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</si>
  <si>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</si>
  <si>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</si>
  <si>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</si>
  <si>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</si>
  <si>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</si>
  <si>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</si>
  <si>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</si>
  <si>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</si>
  <si>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</si>
  <si>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</si>
  <si>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</si>
  <si>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</si>
  <si>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</si>
  <si>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</si>
  <si>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</si>
  <si>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</si>
  <si>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</si>
  <si>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</si>
  <si>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</si>
  <si>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</si>
  <si>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</si>
  <si>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</si>
  <si>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</si>
  <si>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</si>
  <si>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</si>
  <si>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</si>
  <si>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</si>
  <si>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</si>
  <si>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</si>
  <si>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</si>
  <si>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</si>
  <si>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</si>
  <si>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</si>
  <si>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</si>
  <si>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</si>
  <si>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</si>
  <si>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</si>
  <si>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</si>
  <si>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</si>
  <si>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</si>
  <si>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</si>
  <si>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</si>
  <si>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</si>
  <si>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</si>
  <si>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</si>
  <si>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</si>
  <si>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</si>
  <si>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</si>
  <si>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</si>
  <si>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</si>
  <si>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</si>
  <si>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</si>
  <si>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</si>
  <si>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</si>
  <si>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</si>
  <si>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</si>
  <si>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</si>
  <si>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</si>
  <si>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</si>
  <si>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</si>
  <si>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</si>
  <si>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</si>
  <si>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</si>
  <si>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</si>
  <si>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</si>
  <si>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</si>
  <si>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</si>
  <si>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</si>
  <si>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</si>
  <si>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</si>
  <si>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</si>
  <si>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</si>
  <si>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</si>
  <si>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</si>
  <si>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</si>
  <si>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</si>
  <si>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</si>
  <si>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</si>
  <si>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</si>
  <si>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</si>
  <si>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</si>
  <si>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</si>
  <si>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</si>
  <si>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</si>
  <si>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</si>
  <si>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</si>
  <si>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</si>
  <si>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</si>
  <si>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</si>
  <si>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</si>
  <si>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</si>
  <si>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</si>
  <si>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</si>
  <si>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</si>
  <si>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</si>
  <si>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</si>
  <si>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</si>
  <si>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</si>
  <si>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</si>
  <si>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</si>
  <si>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</si>
  <si>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</si>
  <si>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</si>
  <si>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</si>
  <si>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</si>
  <si>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</si>
  <si>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</si>
  <si>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</si>
  <si>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</si>
  <si>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</si>
  <si>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</si>
  <si>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</si>
  <si>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</si>
  <si>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</si>
  <si>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</si>
  <si>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</si>
  <si>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</si>
  <si>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</si>
  <si>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</si>
  <si>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</si>
  <si>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</si>
  <si>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</si>
  <si>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</si>
  <si>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</si>
  <si>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</si>
  <si>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</si>
  <si>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</si>
  <si>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</si>
  <si>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</si>
  <si>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</si>
  <si>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</si>
  <si>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</si>
  <si>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</si>
  <si>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</si>
  <si>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</si>
  <si>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</si>
  <si>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</si>
  <si>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</si>
  <si>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</si>
  <si>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</si>
  <si>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</si>
  <si>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</si>
  <si>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</si>
  <si>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</si>
  <si>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</si>
  <si>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</si>
  <si>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</si>
  <si>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</si>
  <si>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</si>
  <si>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</si>
  <si>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</si>
  <si>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</si>
  <si>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</si>
  <si>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</si>
  <si>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</si>
  <si>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</si>
  <si>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</si>
  <si>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</si>
  <si>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</si>
  <si>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</si>
  <si>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</si>
  <si>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</si>
  <si>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</si>
  <si>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</si>
  <si>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</si>
  <si>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</si>
  <si>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</si>
  <si>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</si>
  <si>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</si>
  <si>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</si>
  <si>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</si>
  <si>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</si>
  <si>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</si>
  <si>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</si>
  <si>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</si>
  <si>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</si>
  <si>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</si>
  <si>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</si>
  <si>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</si>
  <si>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</si>
  <si>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</si>
  <si>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</si>
  <si>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</si>
  <si>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</si>
  <si>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</si>
  <si>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</si>
  <si>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</si>
  <si>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</si>
  <si>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</si>
  <si>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</si>
  <si>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</si>
  <si>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</si>
  <si>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</si>
  <si>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</si>
  <si>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</si>
  <si>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</si>
  <si>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</si>
  <si>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</si>
  <si>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</si>
  <si>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</si>
  <si>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</si>
  <si>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</si>
  <si>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</si>
  <si>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</si>
  <si>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</si>
  <si>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</si>
  <si>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</si>
  <si>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</si>
  <si>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</si>
  <si>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</si>
  <si>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</si>
  <si>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</si>
  <si>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</si>
  <si>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</si>
  <si>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</si>
  <si>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</si>
  <si>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</si>
  <si>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</si>
  <si>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</si>
  <si>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</si>
  <si>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</si>
  <si>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</si>
  <si>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</si>
  <si>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</si>
  <si>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</si>
  <si>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</si>
  <si>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</si>
  <si>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</si>
  <si>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</si>
  <si>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</si>
  <si>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</si>
  <si>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</si>
  <si>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</si>
  <si>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</si>
  <si>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</si>
  <si>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</si>
  <si>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</si>
  <si>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</si>
  <si>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</si>
  <si>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</si>
  <si>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</si>
  <si>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</si>
  <si>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</si>
  <si>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</si>
  <si>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</si>
  <si>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</si>
  <si>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</si>
  <si>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</si>
  <si>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</si>
  <si>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</si>
  <si>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</si>
  <si>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</si>
  <si>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</si>
  <si>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</si>
  <si>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</si>
  <si>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</si>
  <si>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</si>
  <si>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</si>
  <si>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</si>
  <si>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</si>
  <si>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</si>
  <si>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</si>
  <si>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</si>
  <si>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</si>
  <si>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</si>
  <si>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</si>
  <si>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</si>
  <si>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</si>
  <si>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</si>
  <si>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</si>
  <si>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</si>
  <si>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</si>
  <si>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</si>
  <si>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</si>
  <si>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</si>
  <si>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</si>
  <si>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</si>
  <si>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</si>
  <si>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</si>
  <si>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</si>
  <si>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</si>
  <si>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</si>
  <si>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</si>
  <si>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</si>
  <si>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</si>
  <si>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</si>
  <si>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</si>
  <si>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</si>
  <si>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</si>
  <si>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</si>
  <si>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</si>
  <si>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</si>
  <si>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</si>
  <si>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</si>
  <si>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</si>
  <si>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</si>
  <si>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</si>
  <si>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</si>
  <si>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</si>
  <si>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</si>
  <si>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</si>
  <si>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</si>
  <si>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</si>
  <si>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</si>
  <si>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</si>
  <si>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</si>
  <si>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</si>
  <si>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</si>
  <si>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</si>
  <si>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</si>
  <si>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</si>
  <si>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</si>
  <si>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</si>
  <si>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</si>
  <si>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</si>
  <si>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</si>
  <si>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</si>
  <si>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</si>
  <si>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</si>
  <si>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</si>
  <si>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</si>
  <si>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</si>
  <si>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</si>
  <si>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</si>
  <si>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</si>
  <si>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</si>
  <si>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</si>
  <si>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</si>
  <si>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</si>
  <si>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</si>
  <si>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</si>
  <si>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</si>
  <si>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</si>
  <si>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</si>
  <si>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</si>
  <si>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</si>
  <si>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</si>
  <si>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</si>
  <si>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</si>
  <si>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</si>
  <si>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</si>
  <si>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</si>
  <si>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</si>
  <si>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</si>
  <si>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</si>
  <si>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</si>
  <si>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</si>
  <si>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</si>
  <si>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</si>
  <si>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</si>
  <si>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</si>
  <si>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</si>
  <si>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</si>
  <si>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</si>
  <si>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</si>
  <si>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</si>
  <si>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</si>
  <si>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</si>
  <si>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</si>
  <si>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</si>
  <si>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</si>
  <si>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</si>
  <si>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</si>
  <si>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</si>
  <si>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</si>
  <si>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</si>
  <si>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</si>
  <si>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</si>
  <si>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</si>
  <si>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</si>
  <si>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</si>
  <si>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</si>
  <si>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</si>
  <si>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</si>
  <si>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</si>
  <si>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</si>
  <si>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</si>
  <si>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</si>
  <si>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</si>
  <si>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</si>
  <si>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</si>
  <si>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</si>
  <si>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</si>
  <si>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</si>
  <si>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</si>
  <si>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</si>
  <si>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</si>
  <si>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</si>
  <si>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</si>
  <si>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</si>
  <si>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</si>
  <si>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</si>
  <si>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</si>
  <si>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</si>
  <si>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</si>
  <si>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</si>
  <si>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</si>
  <si>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</si>
  <si>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</si>
  <si>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</si>
  <si>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</si>
  <si>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</si>
  <si>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</si>
  <si>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</si>
  <si>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</si>
  <si>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</si>
  <si>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</si>
  <si>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</si>
  <si>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</si>
  <si>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</si>
  <si>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</si>
  <si>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</si>
  <si>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</si>
  <si>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</si>
  <si>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</si>
  <si>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</si>
  <si>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</si>
  <si>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</si>
  <si>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</si>
  <si>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</si>
  <si>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</si>
  <si>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</si>
  <si>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</si>
  <si>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</si>
  <si>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</si>
  <si>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</si>
  <si>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</si>
  <si>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</si>
  <si>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</si>
  <si>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</si>
  <si>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</si>
  <si>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</si>
  <si>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</si>
  <si>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</si>
  <si>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</si>
  <si>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</si>
  <si>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</si>
  <si>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</si>
  <si>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</si>
  <si>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</si>
  <si>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</si>
  <si>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</si>
  <si>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</si>
  <si>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</si>
  <si>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</si>
  <si>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</si>
  <si>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</si>
  <si>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</si>
  <si>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</si>
  <si>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</si>
  <si>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</si>
  <si>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</si>
  <si>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</si>
  <si>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</si>
  <si>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</si>
  <si>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</si>
  <si>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</si>
  <si>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</si>
  <si>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</si>
  <si>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</si>
  <si>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</si>
  <si>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</si>
  <si>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</si>
  <si>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</si>
  <si>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</si>
  <si>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</si>
  <si>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</si>
  <si>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</si>
  <si>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</si>
  <si>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</si>
  <si>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</si>
  <si>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</si>
  <si>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</si>
  <si>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</si>
  <si>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</si>
  <si>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</si>
  <si>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</si>
  <si>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</si>
  <si>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</si>
  <si>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</si>
  <si>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</si>
  <si>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</si>
  <si>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</si>
  <si>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</si>
  <si>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</si>
  <si>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</si>
  <si>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</si>
  <si>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</si>
  <si>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</si>
  <si>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</si>
  <si>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</si>
  <si>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</si>
  <si>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</si>
  <si>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</si>
  <si>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</si>
  <si>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</si>
  <si>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</si>
  <si>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</si>
  <si>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</si>
  <si>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</si>
  <si>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</si>
  <si>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</si>
  <si>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</si>
  <si>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</si>
  <si>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</si>
  <si>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</si>
  <si>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</si>
  <si>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</si>
  <si>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</si>
  <si>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</si>
  <si>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</si>
  <si>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</si>
  <si>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</si>
  <si>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</si>
  <si>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</si>
  <si>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</si>
  <si>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</si>
  <si>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</si>
  <si>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</si>
  <si>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</si>
  <si>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</si>
  <si>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</si>
  <si>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</si>
  <si>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</si>
  <si>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</si>
  <si>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</si>
  <si>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</si>
  <si>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</si>
  <si>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</si>
  <si>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</si>
  <si>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</si>
  <si>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</si>
  <si>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</si>
  <si>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</si>
  <si>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</si>
  <si>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</si>
  <si>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</si>
  <si>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</si>
  <si>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</si>
  <si>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</si>
  <si>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</si>
  <si>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</si>
  <si>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</si>
  <si>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</si>
  <si>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</si>
  <si>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</si>
  <si>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</si>
  <si>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</si>
  <si>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</si>
  <si>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</si>
  <si>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</si>
  <si>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</si>
  <si>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</si>
  <si>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</si>
  <si>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</si>
  <si>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</si>
  <si>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</si>
  <si>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</si>
  <si>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</si>
  <si>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</si>
  <si>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</si>
  <si>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</si>
  <si>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</si>
  <si>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</si>
  <si>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</si>
  <si>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</si>
  <si>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</si>
  <si>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</si>
  <si>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</si>
  <si>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</si>
  <si>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</si>
  <si>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</si>
  <si>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</si>
  <si>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</si>
  <si>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</si>
  <si>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</si>
  <si>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</si>
  <si>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</si>
  <si>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</si>
  <si>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</si>
  <si>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</si>
  <si>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</si>
  <si>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</si>
  <si>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</si>
  <si>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</si>
  <si>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</si>
  <si>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</si>
  <si>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</si>
  <si>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</si>
  <si>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</si>
  <si>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</si>
  <si>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</si>
  <si>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</si>
  <si>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</si>
  <si>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</si>
  <si>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</si>
  <si>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</si>
  <si>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</si>
  <si>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</si>
  <si>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</si>
  <si>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</si>
  <si>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</si>
  <si>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</si>
  <si>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</si>
  <si>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</si>
  <si>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</si>
  <si>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</si>
  <si>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</si>
  <si>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</si>
  <si>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</si>
  <si>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</si>
  <si>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</si>
  <si>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</si>
  <si>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</si>
  <si>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</si>
  <si>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</si>
  <si>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</si>
  <si>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</si>
  <si>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</si>
  <si>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</si>
  <si>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</si>
  <si>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</si>
  <si>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</si>
  <si>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</si>
  <si>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</si>
  <si>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</si>
  <si>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</si>
  <si>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</si>
  <si>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</si>
  <si>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</si>
  <si>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</si>
  <si>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</si>
  <si>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</si>
  <si>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</si>
  <si>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</si>
  <si>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</si>
  <si>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</si>
  <si>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</si>
  <si>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</si>
  <si>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</si>
  <si>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</si>
  <si>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</si>
  <si>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</si>
  <si>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</si>
  <si>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</si>
  <si>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</si>
  <si>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</si>
  <si>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</si>
  <si>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</si>
  <si>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</si>
  <si>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</si>
  <si>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</si>
  <si>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</si>
  <si>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</si>
  <si>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</si>
  <si>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</si>
  <si>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</si>
  <si>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</si>
  <si>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</si>
  <si>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</si>
  <si>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</si>
  <si>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</si>
  <si>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</si>
  <si>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</si>
  <si>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</si>
  <si>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</si>
  <si>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</si>
  <si>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</si>
  <si>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</si>
  <si>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</si>
  <si>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</si>
  <si>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</si>
  <si>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</si>
  <si>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</si>
  <si>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</si>
  <si>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</si>
  <si>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</si>
  <si>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</si>
  <si>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</si>
  <si>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</si>
  <si>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</si>
  <si>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</si>
  <si>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</si>
  <si>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</si>
  <si>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</si>
  <si>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</si>
  <si>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</si>
  <si>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</si>
  <si>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</si>
  <si>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</si>
  <si>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</si>
  <si>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</si>
  <si>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</si>
  <si>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</si>
  <si>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</si>
  <si>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</si>
  <si>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</si>
  <si>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</si>
  <si>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</si>
  <si>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</si>
  <si>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</si>
  <si>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</si>
  <si>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</si>
  <si>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</si>
  <si>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</si>
  <si>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</si>
  <si>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</si>
  <si>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</si>
  <si>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</si>
  <si>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</si>
  <si>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</si>
  <si>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</si>
  <si>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</si>
  <si>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</si>
  <si>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</si>
  <si>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</si>
  <si>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</si>
  <si>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</si>
  <si>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</si>
  <si>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</si>
  <si>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</si>
  <si>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</si>
  <si>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</si>
  <si>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</si>
  <si>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</si>
  <si>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</si>
  <si>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</si>
  <si>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</si>
  <si>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</si>
  <si>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</si>
  <si>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</si>
  <si>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</si>
  <si>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</si>
  <si>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</si>
  <si>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</si>
  <si>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</si>
  <si>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</si>
  <si>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</si>
  <si>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</si>
  <si>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</si>
  <si>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</si>
  <si>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</si>
  <si>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</si>
  <si>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</si>
  <si>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</si>
  <si>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</si>
  <si>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</si>
  <si>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</si>
  <si>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</si>
  <si>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</si>
  <si>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</si>
  <si>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</si>
  <si>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</si>
  <si>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</si>
  <si>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</si>
  <si>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</si>
  <si>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</si>
  <si>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</si>
  <si>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</si>
  <si>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</si>
  <si>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</si>
  <si>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</si>
  <si>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</si>
  <si>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</si>
  <si>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</si>
  <si>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</si>
  <si>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</si>
  <si>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</si>
  <si>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</si>
  <si>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</si>
  <si>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</si>
  <si>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</si>
  <si>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</si>
  <si>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</si>
  <si>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</si>
  <si>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</si>
  <si>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</si>
  <si>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</si>
  <si>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</si>
  <si>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</si>
  <si>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</si>
  <si>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</si>
  <si>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</si>
  <si>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</si>
  <si>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</si>
  <si>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</si>
  <si>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</si>
  <si>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</si>
  <si>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</si>
  <si>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</si>
  <si>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</si>
  <si>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</si>
  <si>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</si>
  <si>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</si>
  <si>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</si>
  <si>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</si>
  <si>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</si>
  <si>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</si>
  <si>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</si>
  <si>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</si>
  <si>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</si>
  <si>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</si>
  <si>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</si>
  <si>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</si>
  <si>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</si>
  <si>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</si>
  <si>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</si>
  <si>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</si>
  <si>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</si>
  <si>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</si>
  <si>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</si>
  <si>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</si>
  <si>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</si>
  <si>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</si>
  <si>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</si>
  <si>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</si>
  <si>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</si>
  <si>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</si>
  <si>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</si>
  <si>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</si>
  <si>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</si>
  <si>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</si>
  <si>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</si>
  <si>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</si>
  <si>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</si>
  <si>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</si>
  <si>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</si>
  <si>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</si>
  <si>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</si>
  <si>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</si>
  <si>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</si>
  <si>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</si>
  <si>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</si>
  <si>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</si>
  <si>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</si>
  <si>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</si>
  <si>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</si>
  <si>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</si>
  <si>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</si>
  <si>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</si>
  <si>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</si>
  <si>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</si>
  <si>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</si>
  <si>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</si>
  <si>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</si>
  <si>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</si>
  <si>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</si>
  <si>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</si>
  <si>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</si>
  <si>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</si>
  <si>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</si>
  <si>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</si>
  <si>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</si>
  <si>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</si>
  <si>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</si>
  <si>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</si>
  <si>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</si>
  <si>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</si>
  <si>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</si>
  <si>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</si>
  <si>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</si>
  <si>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</si>
  <si>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</si>
  <si>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</si>
  <si>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</si>
  <si>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</si>
  <si>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</si>
  <si>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</si>
  <si>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</si>
  <si>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</si>
  <si>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</si>
  <si>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</si>
  <si>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</si>
  <si>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</si>
  <si>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</si>
  <si>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</si>
  <si>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</si>
  <si>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</si>
  <si>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</si>
  <si>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</si>
  <si>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</si>
  <si>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</si>
  <si>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</si>
  <si>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</si>
  <si>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</si>
  <si>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</si>
  <si>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</si>
  <si>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</si>
  <si>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</si>
  <si>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</si>
  <si>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</si>
  <si>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</si>
  <si>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</si>
  <si>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</si>
  <si>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</si>
  <si>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</si>
  <si>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</si>
  <si>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</si>
  <si>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</si>
  <si>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</si>
  <si>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</si>
  <si>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</si>
  <si>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</si>
  <si>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</si>
  <si>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</si>
  <si>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</si>
  <si>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</si>
  <si>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</si>
  <si>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</si>
  <si>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</si>
  <si>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</si>
  <si>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</si>
  <si>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</si>
  <si>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</si>
  <si>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</si>
  <si>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</si>
  <si>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</si>
  <si>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</si>
  <si>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</si>
  <si>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</si>
  <si>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</si>
  <si>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</si>
  <si>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</si>
  <si>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</si>
  <si>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</si>
  <si>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</si>
  <si>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</si>
  <si>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</si>
  <si>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</si>
  <si>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</si>
  <si>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</si>
  <si>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</si>
  <si>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</si>
  <si>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</si>
  <si>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</si>
  <si>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</si>
  <si>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</si>
  <si>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</si>
  <si>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</si>
  <si>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</si>
  <si>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</si>
  <si>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</si>
  <si>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</si>
  <si>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</si>
  <si>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</si>
  <si>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</si>
  <si>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</si>
  <si>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</si>
  <si>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</si>
  <si>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</si>
  <si>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</si>
  <si>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</si>
  <si>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</si>
  <si>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</si>
  <si>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</si>
  <si>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</si>
  <si>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</si>
  <si>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</si>
  <si>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</si>
  <si>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</si>
  <si>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</si>
  <si>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</si>
  <si>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</si>
  <si>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</si>
  <si>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</si>
  <si>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</si>
  <si>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</si>
  <si>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</si>
  <si>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</si>
  <si>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</si>
  <si>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</si>
  <si>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</si>
  <si>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</si>
  <si>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</si>
  <si>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</si>
  <si>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</si>
  <si>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</si>
  <si>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</si>
  <si>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</si>
  <si>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</si>
  <si>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</si>
  <si>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</si>
  <si>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</si>
  <si>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</si>
  <si>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</si>
  <si>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</si>
  <si>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</si>
  <si>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</si>
  <si>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</si>
  <si>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</si>
  <si>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</si>
  <si>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</si>
  <si>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</si>
  <si>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</si>
  <si>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</si>
  <si>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</si>
  <si>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</si>
  <si>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</si>
  <si>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</si>
  <si>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</si>
  <si>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</si>
  <si>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</si>
  <si>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</si>
  <si>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</si>
  <si>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</si>
  <si>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</si>
  <si>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</si>
  <si>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</si>
  <si>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</si>
  <si>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</si>
  <si>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</si>
  <si>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</si>
  <si>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</si>
  <si>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</si>
  <si>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</si>
  <si>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</si>
  <si>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</si>
  <si>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</si>
  <si>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</si>
  <si>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</si>
  <si>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</si>
  <si>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</si>
  <si>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</si>
  <si>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</si>
  <si>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</si>
  <si>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</si>
  <si>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</si>
  <si>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</si>
  <si>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</si>
  <si>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</si>
  <si>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</si>
  <si>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</si>
  <si>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</si>
  <si>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</si>
  <si>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</si>
  <si>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</si>
  <si>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</si>
  <si>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</si>
  <si>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</si>
  <si>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</si>
  <si>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</si>
  <si>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</si>
  <si>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</si>
  <si>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</si>
  <si>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</si>
  <si>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</si>
  <si>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</si>
  <si>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</si>
  <si>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</si>
  <si>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</si>
  <si>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</si>
  <si>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</si>
  <si>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</si>
  <si>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</si>
  <si>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</si>
  <si>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</si>
  <si>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</si>
  <si>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</si>
  <si>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</si>
  <si>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</si>
  <si>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</si>
  <si>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</si>
  <si>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</si>
  <si>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</si>
  <si>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</si>
  <si>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</si>
  <si>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</si>
  <si>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</si>
  <si>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</si>
  <si>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</si>
  <si>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</si>
  <si>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</si>
  <si>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</si>
  <si>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</si>
  <si>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</si>
  <si>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</si>
  <si>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</si>
  <si>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</si>
  <si>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</si>
  <si>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</si>
  <si>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</si>
  <si>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</si>
  <si>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</si>
  <si>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</si>
  <si>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</si>
  <si>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</si>
  <si>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</si>
  <si>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</si>
  <si>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</si>
  <si>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</si>
  <si>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</si>
  <si>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</si>
  <si>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</si>
  <si>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</si>
  <si>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</si>
  <si>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</si>
  <si>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</si>
  <si>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</si>
  <si>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</si>
  <si>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</si>
  <si>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</si>
  <si>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</si>
  <si>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</si>
  <si>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</si>
  <si>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</si>
  <si>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</si>
  <si>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</si>
  <si>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</si>
  <si>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</si>
  <si>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</si>
  <si>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</si>
  <si>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</si>
  <si>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</si>
  <si>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</si>
  <si>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</si>
  <si>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</si>
  <si>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</si>
  <si>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</si>
  <si>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</si>
  <si>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</si>
  <si>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</si>
  <si>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</si>
  <si>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</si>
  <si>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</si>
  <si>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</si>
  <si>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</si>
  <si>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</si>
  <si>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</si>
  <si>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</si>
  <si>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</si>
  <si>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</si>
  <si>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</si>
  <si>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</si>
  <si>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</si>
  <si>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</si>
  <si>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</si>
  <si>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</si>
  <si>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</si>
  <si>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</si>
  <si>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</si>
  <si>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</si>
  <si>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</si>
  <si>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</si>
  <si>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</si>
  <si>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</si>
  <si>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</si>
  <si>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</si>
  <si>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</si>
  <si>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</si>
  <si>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</si>
  <si>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</si>
  <si>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</si>
  <si>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</si>
  <si>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</si>
  <si>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</si>
  <si>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</si>
  <si>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</si>
  <si>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</si>
  <si>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</si>
  <si>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</si>
  <si>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</si>
  <si>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</si>
  <si>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</si>
  <si>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</si>
  <si>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</si>
  <si>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</si>
  <si>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</si>
  <si>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</si>
  <si>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</si>
  <si>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</si>
  <si>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</si>
  <si>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</si>
  <si>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</si>
  <si>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</si>
  <si>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</si>
  <si>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</si>
  <si>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</si>
  <si>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</si>
  <si>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</si>
  <si>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</si>
  <si>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</si>
  <si>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</si>
  <si>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</si>
  <si>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</si>
  <si>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</si>
  <si>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</si>
  <si>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</si>
  <si>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</si>
  <si>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</si>
  <si>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</si>
  <si>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</si>
  <si>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</si>
  <si>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</si>
  <si>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</si>
  <si>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</si>
  <si>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</si>
  <si>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</si>
  <si>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</si>
  <si>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</si>
  <si>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</si>
  <si>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</si>
  <si>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</si>
  <si>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</si>
  <si>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</si>
  <si>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</si>
  <si>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</si>
  <si>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</si>
  <si>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</si>
  <si>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</si>
  <si>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</si>
  <si>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</si>
  <si>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</si>
  <si>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</si>
  <si>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</si>
  <si>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</si>
  <si>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</si>
  <si>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</si>
  <si>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</si>
  <si>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</si>
  <si>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</si>
  <si>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</si>
  <si>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</si>
  <si>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</si>
  <si>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</si>
  <si>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</si>
  <si>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</si>
  <si>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</si>
  <si>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</si>
  <si>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</si>
  <si>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</si>
  <si>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</si>
  <si>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</si>
  <si>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</si>
  <si>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</si>
  <si>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</si>
  <si>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</si>
  <si>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</si>
  <si>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</si>
  <si>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</si>
  <si>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</si>
  <si>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</si>
  <si>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</si>
  <si>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</si>
  <si>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</si>
  <si>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</si>
  <si>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</si>
  <si>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</si>
  <si>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</si>
  <si>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</si>
  <si>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</si>
  <si>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</si>
  <si>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</si>
  <si>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</si>
  <si>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</si>
  <si>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</si>
  <si>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</si>
  <si>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</si>
  <si>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</si>
  <si>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</si>
  <si>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</si>
  <si>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</si>
  <si>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</si>
  <si>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</si>
  <si>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</si>
  <si>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</si>
  <si>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</si>
  <si>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</si>
  <si>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</si>
  <si>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</si>
  <si>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</si>
  <si>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</si>
  <si>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</si>
  <si>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</si>
  <si>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</si>
  <si>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</si>
  <si>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</si>
  <si>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</si>
  <si>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</si>
  <si>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</si>
  <si>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</si>
  <si>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</si>
  <si>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</si>
  <si>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</si>
  <si>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</si>
  <si>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</si>
  <si>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</si>
  <si>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</si>
  <si>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</si>
  <si>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</si>
  <si>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</si>
  <si>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</si>
  <si>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</si>
  <si>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</si>
  <si>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</si>
  <si>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</si>
  <si>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</si>
  <si>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</si>
  <si>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</si>
  <si>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</si>
  <si>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</si>
  <si>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</si>
  <si>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</si>
  <si>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</si>
  <si>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</si>
  <si>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</si>
  <si>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</si>
  <si>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</si>
  <si>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</si>
  <si>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</si>
  <si>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</si>
  <si>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</si>
  <si>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</si>
  <si>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</si>
  <si>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</si>
  <si>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</si>
  <si>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</si>
  <si>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</si>
  <si>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</si>
  <si>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</si>
  <si>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</si>
  <si>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</si>
  <si>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</si>
  <si>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</si>
  <si>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</si>
  <si>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</si>
  <si>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</si>
  <si>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</si>
  <si>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</si>
  <si>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</si>
  <si>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</si>
  <si>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</si>
  <si>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</si>
  <si>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</si>
  <si>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</si>
  <si>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</si>
  <si>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</si>
  <si>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</si>
  <si>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</si>
  <si>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</si>
  <si>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</si>
  <si>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</si>
  <si>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</si>
  <si>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</si>
  <si>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</si>
  <si>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</si>
  <si>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</si>
  <si>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</si>
  <si>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</si>
  <si>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</si>
  <si>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</si>
  <si>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</si>
  <si>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</si>
  <si>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</si>
  <si>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</si>
  <si>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</si>
  <si>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</si>
  <si>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</si>
  <si>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</si>
  <si>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</si>
  <si>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</si>
  <si>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</si>
  <si>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</si>
  <si>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</si>
  <si>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</si>
  <si>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</si>
  <si>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</si>
  <si>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</si>
  <si>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</si>
  <si>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</si>
  <si>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</si>
  <si>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</si>
  <si>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</si>
  <si>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</si>
  <si>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</si>
  <si>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</si>
  <si>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</si>
  <si>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</si>
  <si>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</si>
  <si>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</si>
  <si>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</si>
  <si>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</si>
  <si>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</si>
  <si>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</si>
  <si>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</si>
  <si>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</si>
  <si>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</si>
  <si>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</si>
  <si>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</si>
  <si>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</si>
  <si>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</si>
  <si>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</si>
  <si>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</si>
  <si>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</si>
  <si>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</si>
  <si>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</si>
  <si>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</si>
  <si>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</si>
  <si>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</si>
  <si>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</si>
  <si>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</si>
  <si>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</si>
  <si>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</si>
  <si>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</si>
  <si>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</si>
  <si>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</si>
  <si>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</si>
  <si>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</si>
  <si>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</si>
  <si>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</si>
  <si>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</si>
  <si>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</si>
  <si>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</si>
  <si>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</si>
  <si>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</si>
  <si>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</si>
  <si>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</si>
  <si>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</si>
  <si>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</si>
  <si>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</si>
  <si>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</si>
  <si>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</si>
  <si>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</si>
  <si>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</si>
  <si>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</si>
  <si>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</si>
  <si>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</si>
  <si>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</si>
  <si>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</si>
  <si>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</si>
  <si>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</si>
  <si>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</si>
  <si>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</si>
  <si>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</si>
  <si>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</si>
  <si>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</si>
  <si>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</si>
  <si>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</si>
  <si>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</si>
  <si>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</si>
  <si>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</si>
  <si>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</si>
  <si>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</si>
  <si>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</si>
  <si>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</si>
  <si>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</si>
  <si>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</si>
  <si>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</si>
  <si>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</si>
  <si>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</si>
  <si>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</si>
  <si>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</si>
  <si>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</si>
  <si>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</si>
  <si>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</si>
  <si>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</si>
  <si>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</si>
  <si>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</si>
  <si>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</si>
  <si>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</si>
  <si>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</si>
  <si>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</si>
  <si>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</si>
  <si>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</si>
  <si>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</si>
  <si>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</si>
  <si>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</si>
  <si>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</si>
  <si>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</si>
  <si>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</si>
  <si>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</si>
  <si>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</si>
  <si>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</si>
  <si>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</si>
  <si>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</si>
  <si>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</si>
  <si>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</si>
  <si>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</si>
  <si>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</si>
  <si>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</si>
  <si>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</si>
  <si>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</si>
  <si>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</si>
  <si>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</si>
  <si>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</si>
  <si>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</si>
  <si>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</si>
  <si>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</si>
  <si>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</si>
  <si>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</si>
  <si>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</si>
  <si>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</si>
  <si>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</si>
  <si>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</si>
  <si>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</si>
  <si>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</si>
  <si>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</si>
  <si>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</si>
  <si>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</si>
  <si>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</si>
  <si>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</si>
  <si>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</si>
  <si>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</si>
  <si>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</si>
  <si>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</si>
  <si>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</si>
  <si>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</si>
  <si>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</si>
  <si>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</si>
  <si>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</si>
  <si>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</si>
  <si>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</si>
  <si>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</si>
  <si>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</si>
  <si>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</si>
  <si>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</si>
  <si>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</si>
  <si>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</si>
  <si>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</si>
  <si>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</si>
  <si>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</si>
  <si>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</si>
  <si>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</si>
  <si>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</si>
  <si>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</si>
  <si>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</si>
  <si>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</si>
  <si>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</si>
  <si>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</si>
  <si>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</si>
  <si>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</si>
  <si>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</si>
  <si>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</si>
  <si>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</si>
  <si>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</si>
  <si>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</si>
  <si>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</si>
  <si>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</si>
  <si>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</si>
  <si>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</si>
  <si>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</si>
  <si>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</si>
  <si>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</si>
  <si>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</si>
  <si>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</si>
  <si>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</si>
  <si>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</si>
  <si>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</si>
  <si>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</si>
  <si>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</si>
  <si>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</si>
  <si>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</si>
  <si>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</si>
  <si>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</si>
  <si>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</si>
  <si>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</si>
  <si>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</si>
  <si>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</si>
  <si>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</si>
  <si>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</si>
  <si>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</si>
  <si>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</si>
  <si>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</si>
  <si>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</si>
  <si>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</si>
  <si>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</si>
  <si>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</si>
  <si>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</si>
  <si>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</si>
  <si>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</si>
  <si>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</si>
  <si>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</si>
  <si>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</si>
  <si>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</si>
  <si>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</si>
  <si>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</si>
  <si>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</si>
  <si>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</si>
  <si>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</si>
  <si>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</si>
  <si>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</si>
  <si>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</si>
  <si>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</si>
  <si>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</si>
  <si>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</si>
  <si>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</si>
  <si>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</si>
  <si>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</si>
  <si>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</si>
  <si>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</si>
  <si>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</si>
  <si>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</si>
  <si>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</si>
  <si>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</si>
  <si>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</si>
  <si>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</si>
  <si>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</si>
  <si>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</si>
  <si>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</si>
  <si>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</si>
  <si>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</si>
  <si>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</si>
  <si>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</si>
  <si>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</si>
  <si>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</si>
  <si>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</si>
  <si>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</si>
  <si>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</si>
  <si>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</si>
  <si>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</si>
  <si>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</si>
  <si>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</si>
  <si>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</si>
  <si>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</si>
  <si>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</si>
  <si>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</si>
  <si>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</si>
  <si>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</si>
  <si>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</si>
  <si>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</si>
  <si>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</si>
  <si>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</si>
  <si>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</si>
  <si>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</si>
  <si>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</si>
  <si>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</si>
  <si>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</si>
  <si>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</si>
  <si>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</si>
  <si>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</si>
  <si>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</si>
  <si>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</si>
  <si>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</si>
  <si>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</si>
  <si>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</si>
  <si>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</si>
  <si>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</si>
  <si>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</si>
  <si>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</si>
  <si>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</si>
  <si>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</si>
  <si>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</si>
  <si>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</si>
  <si>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</si>
  <si>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</si>
  <si>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</si>
  <si>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</si>
  <si>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</si>
  <si>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</si>
  <si>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</si>
  <si>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</si>
  <si>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</si>
  <si>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</si>
  <si>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</si>
  <si>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</si>
  <si>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</si>
  <si>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</si>
  <si>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</si>
  <si>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</si>
  <si>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</si>
  <si>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</si>
  <si>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</si>
  <si>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</si>
  <si>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</si>
  <si>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</si>
  <si>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</si>
  <si>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</si>
  <si>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</si>
  <si>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</si>
  <si>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</si>
  <si>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</si>
  <si>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</si>
  <si>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</si>
  <si>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</si>
  <si>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</si>
  <si>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</si>
  <si>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</si>
  <si>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</si>
  <si>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</si>
  <si>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</si>
  <si>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</si>
  <si>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</si>
  <si>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</si>
  <si>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</si>
  <si>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</si>
  <si>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</si>
  <si>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</si>
  <si>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</si>
  <si>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</si>
  <si>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</si>
  <si>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</si>
  <si>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</si>
  <si>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</si>
  <si>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</si>
  <si>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</si>
  <si>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</si>
  <si>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</si>
  <si>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</si>
  <si>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</si>
  <si>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</si>
  <si>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</si>
  <si>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</si>
  <si>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</si>
  <si>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</si>
  <si>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</si>
  <si>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</si>
  <si>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</si>
  <si>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</si>
  <si>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</si>
  <si>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</si>
  <si>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</si>
  <si>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</si>
  <si>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</si>
  <si>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</si>
  <si>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</si>
  <si>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</si>
  <si>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</si>
  <si>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</si>
  <si>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</si>
  <si>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</si>
  <si>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</si>
  <si>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</si>
  <si>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</si>
  <si>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</si>
  <si>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</si>
  <si>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</si>
  <si>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</si>
  <si>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</si>
  <si>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</si>
  <si>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</si>
  <si>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</si>
  <si>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</si>
  <si>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</si>
  <si>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</si>
  <si>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</si>
  <si>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</si>
  <si>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</si>
  <si>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</si>
  <si>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</si>
  <si>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</si>
  <si>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</si>
  <si>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</si>
  <si>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</si>
  <si>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</si>
  <si>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</si>
  <si>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</si>
  <si>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</si>
  <si>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</si>
  <si>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</si>
  <si>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</si>
  <si>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</si>
  <si>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</si>
  <si>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</si>
  <si>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</si>
  <si>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</si>
  <si>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</si>
  <si>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</si>
  <si>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</si>
  <si>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</si>
  <si>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</si>
  <si>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</si>
  <si>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</si>
  <si>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</si>
  <si>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</si>
  <si>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</si>
  <si>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</si>
  <si>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</si>
  <si>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</si>
  <si>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</si>
  <si>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</si>
  <si>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</si>
  <si>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</si>
  <si>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</si>
  <si>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</si>
  <si>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</si>
  <si>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</si>
  <si>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</si>
  <si>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</si>
  <si>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</si>
  <si>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</si>
  <si>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</si>
  <si>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</si>
  <si>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</si>
  <si>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</si>
  <si>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</si>
  <si>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</si>
  <si>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</si>
  <si>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</si>
  <si>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</si>
  <si>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</si>
  <si>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</si>
  <si>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</si>
  <si>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</si>
  <si>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</si>
  <si>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</si>
  <si>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</si>
  <si>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</si>
  <si>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</si>
  <si>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</si>
  <si>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</si>
  <si>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</si>
  <si>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</si>
  <si>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</si>
  <si>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</si>
  <si>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</si>
  <si>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</si>
  <si>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</si>
  <si>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</si>
  <si>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</si>
  <si>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</si>
  <si>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</si>
  <si>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</si>
  <si>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</si>
  <si>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</si>
  <si>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</si>
  <si>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</si>
  <si>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</si>
  <si>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</si>
  <si>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</si>
  <si>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</si>
  <si>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</si>
  <si>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</si>
  <si>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</si>
  <si>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</si>
  <si>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</si>
  <si>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</si>
  <si>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</si>
  <si>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</si>
  <si>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</si>
  <si>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</si>
  <si>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</si>
  <si>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</si>
  <si>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</si>
  <si>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</si>
  <si>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</si>
  <si>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</si>
  <si>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</si>
  <si>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</si>
  <si>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</si>
  <si>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</si>
  <si>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</si>
  <si>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</si>
  <si>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</si>
  <si>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</si>
  <si>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</si>
  <si>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</si>
  <si>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</si>
  <si>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</si>
  <si>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</si>
  <si>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</si>
  <si>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</si>
  <si>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</si>
  <si>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</si>
  <si>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</si>
  <si>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</si>
  <si>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</si>
  <si>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</si>
  <si>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</si>
  <si>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</si>
  <si>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</si>
  <si>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</si>
  <si>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</si>
  <si>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</si>
  <si>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</si>
  <si>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</si>
  <si>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</si>
  <si>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</si>
  <si>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</si>
  <si>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</si>
  <si>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</si>
  <si>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</si>
  <si>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</si>
  <si>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</si>
  <si>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</si>
  <si>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</si>
  <si>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</si>
  <si>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</si>
  <si>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</si>
  <si>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</si>
  <si>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</si>
  <si>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</si>
  <si>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</si>
  <si>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</si>
  <si>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</si>
  <si>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</si>
  <si>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</si>
  <si>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</si>
  <si>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</si>
  <si>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</si>
  <si>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</si>
  <si>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</si>
  <si>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</si>
  <si>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</si>
  <si>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</si>
  <si>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</si>
  <si>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</si>
  <si>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</si>
  <si>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</si>
  <si>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</si>
  <si>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</si>
  <si>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</si>
  <si>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</si>
  <si>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</si>
  <si>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</si>
  <si>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</si>
  <si>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</si>
  <si>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</si>
  <si>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</si>
  <si>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</si>
  <si>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</si>
  <si>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</si>
  <si>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</si>
  <si>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</si>
  <si>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</si>
  <si>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</si>
  <si>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</si>
  <si>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</si>
  <si>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</si>
  <si>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</si>
  <si>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</si>
  <si>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</si>
  <si>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</si>
  <si>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</si>
  <si>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</si>
  <si>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</si>
  <si>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</si>
  <si>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</si>
  <si>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</si>
  <si>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</si>
  <si>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</si>
  <si>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</si>
  <si>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</si>
  <si>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</si>
  <si>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</si>
  <si>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</si>
  <si>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</si>
  <si>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</si>
  <si>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</si>
  <si>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</si>
  <si>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</si>
  <si>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</si>
  <si>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</si>
  <si>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</si>
  <si>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</si>
  <si>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</si>
  <si>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</si>
  <si>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</si>
  <si>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</si>
  <si>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</si>
  <si>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</si>
  <si>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</si>
  <si>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</si>
  <si>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</si>
  <si>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</si>
  <si>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</si>
  <si>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</si>
  <si>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</si>
  <si>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</si>
  <si>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</si>
  <si>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</si>
  <si>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</si>
  <si>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</si>
  <si>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</si>
  <si>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</si>
  <si>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</si>
  <si>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</si>
  <si>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</si>
  <si>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</si>
  <si>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</si>
  <si>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</si>
  <si>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</si>
  <si>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</si>
  <si>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</si>
  <si>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</si>
  <si>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</si>
  <si>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</si>
  <si>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</si>
  <si>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</si>
  <si>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</si>
  <si>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</si>
  <si>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</si>
  <si>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</si>
  <si>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</si>
  <si>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</si>
  <si>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</si>
  <si>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</si>
  <si>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</si>
  <si>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</si>
  <si>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</si>
  <si>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</si>
  <si>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</si>
  <si>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</si>
  <si>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</si>
  <si>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</si>
  <si>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</si>
  <si>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</si>
  <si>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</si>
  <si>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</si>
  <si>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</si>
  <si>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</si>
  <si>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</si>
  <si>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</si>
  <si>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</si>
  <si>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</si>
  <si>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</si>
  <si>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</si>
  <si>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</si>
  <si>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</si>
  <si>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</si>
  <si>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</si>
  <si>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</si>
  <si>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</si>
  <si>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</si>
  <si>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</si>
  <si>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</si>
  <si>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</si>
  <si>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</si>
  <si>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</si>
  <si>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</si>
  <si>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</si>
  <si>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</si>
  <si>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</si>
  <si>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</si>
  <si>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</si>
  <si>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</si>
  <si>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</si>
  <si>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</si>
  <si>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</si>
  <si>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</si>
  <si>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</si>
  <si>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</si>
  <si>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</si>
  <si>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</si>
  <si>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</si>
  <si>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</si>
  <si>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</si>
  <si>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</si>
  <si>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</si>
  <si>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</si>
  <si>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</si>
  <si>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</si>
  <si>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</si>
  <si>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</si>
  <si>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</si>
  <si>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</si>
  <si>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</si>
  <si>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</si>
  <si>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</si>
  <si>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</si>
  <si>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</si>
  <si>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</si>
  <si>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</si>
  <si>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</si>
  <si>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</si>
  <si>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</si>
  <si>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</si>
  <si>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</si>
  <si>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</si>
  <si>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</si>
  <si>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</si>
  <si>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</si>
  <si>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</si>
  <si>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</si>
  <si>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</si>
  <si>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</si>
  <si>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</si>
  <si>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</si>
  <si>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</si>
  <si>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</si>
  <si>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</si>
  <si>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</si>
  <si>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</si>
  <si>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</si>
  <si>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</si>
  <si>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</si>
  <si>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</si>
  <si>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</si>
  <si>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</si>
  <si>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</si>
  <si>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</si>
  <si>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</si>
  <si>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</si>
  <si>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</si>
  <si>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</si>
  <si>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</si>
  <si>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</si>
  <si>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</si>
  <si>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</si>
  <si>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</si>
  <si>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</si>
  <si>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</si>
  <si>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</si>
  <si>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</si>
  <si>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</si>
  <si>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</si>
  <si>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</si>
  <si>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</si>
  <si>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</si>
  <si>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</si>
  <si>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</si>
  <si>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</si>
  <si>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</si>
  <si>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</si>
  <si>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</si>
  <si>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</si>
  <si>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</si>
  <si>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</si>
  <si>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</si>
  <si>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</si>
  <si>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</si>
  <si>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</si>
  <si>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</si>
  <si>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</si>
  <si>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</si>
  <si>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</si>
  <si>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</si>
  <si>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</si>
  <si>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</si>
  <si>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</si>
  <si>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</si>
  <si>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</si>
  <si>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</si>
  <si>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</si>
  <si>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</si>
  <si>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</si>
  <si>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</si>
  <si>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</si>
  <si>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</si>
  <si>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</si>
  <si>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</si>
  <si>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</si>
  <si>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</si>
  <si>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</si>
  <si>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</si>
  <si>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</si>
  <si>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</si>
  <si>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</si>
  <si>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</si>
  <si>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</si>
  <si>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</si>
  <si>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</si>
  <si>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</si>
  <si>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</si>
  <si>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</si>
  <si>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</si>
  <si>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</si>
  <si>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</si>
  <si>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</si>
  <si>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</si>
  <si>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</si>
  <si>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</si>
  <si>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</si>
  <si>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</si>
  <si>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</si>
  <si>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</si>
  <si>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</si>
  <si>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</si>
  <si>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</si>
  <si>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</si>
  <si>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</si>
  <si>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</si>
  <si>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</si>
  <si>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</si>
  <si>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</si>
  <si>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</si>
  <si>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</si>
  <si>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</si>
  <si>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</si>
  <si>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</si>
  <si>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</si>
  <si>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</si>
  <si>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</si>
  <si>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</si>
  <si>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</si>
  <si>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</si>
  <si>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</si>
  <si>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</si>
  <si>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</si>
  <si>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</si>
  <si>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</si>
  <si>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</si>
  <si>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</si>
  <si>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</si>
  <si>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</si>
  <si>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</si>
  <si>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</si>
  <si>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</si>
  <si>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</si>
  <si>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</si>
  <si>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</si>
  <si>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</si>
  <si>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</si>
  <si>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</si>
  <si>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</si>
  <si>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</si>
  <si>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</si>
  <si>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</si>
  <si>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</si>
  <si>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</si>
  <si>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</si>
  <si>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</si>
  <si>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</si>
  <si>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</si>
  <si>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</si>
  <si>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</si>
  <si>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</si>
  <si>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</si>
  <si>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</si>
  <si>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</si>
  <si>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</si>
  <si>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</si>
  <si>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</si>
  <si>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</si>
  <si>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</si>
  <si>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</si>
  <si>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</si>
  <si>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</si>
  <si>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</si>
  <si>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</si>
  <si>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</si>
  <si>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</si>
  <si>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</si>
  <si>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</si>
  <si>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</si>
  <si>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</si>
  <si>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</si>
  <si>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</si>
  <si>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</si>
  <si>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</si>
  <si>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</si>
  <si>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</si>
  <si>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</si>
  <si>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</si>
  <si>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</si>
  <si>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</si>
  <si>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</si>
  <si>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</si>
  <si>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</si>
  <si>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</si>
  <si>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</si>
  <si>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</si>
  <si>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</si>
  <si>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</si>
  <si>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</si>
  <si>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</si>
  <si>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</si>
  <si>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</si>
  <si>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</si>
  <si>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</si>
  <si>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</si>
  <si>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</si>
  <si>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</si>
  <si>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</si>
  <si>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</si>
  <si>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</si>
  <si>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</si>
  <si>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</si>
  <si>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</si>
  <si>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</si>
  <si>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</si>
  <si>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</si>
  <si>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</si>
  <si>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</si>
  <si>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</si>
  <si>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</si>
  <si>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</si>
  <si>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</si>
  <si>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</si>
  <si>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</si>
  <si>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</si>
  <si>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</si>
  <si>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</si>
  <si>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</si>
  <si>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</si>
  <si>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</si>
  <si>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</si>
  <si>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</si>
  <si>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</si>
  <si>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</si>
  <si>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</si>
  <si>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</si>
  <si>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</si>
  <si>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</si>
  <si>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</si>
  <si>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</si>
  <si>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</si>
  <si>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</si>
  <si>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</si>
  <si>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</si>
  <si>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</si>
  <si>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</si>
  <si>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</si>
  <si>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</si>
  <si>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</si>
  <si>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</si>
  <si>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</si>
  <si>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</si>
  <si>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</si>
  <si>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</si>
  <si>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</si>
  <si>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</si>
  <si>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</si>
  <si>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</si>
  <si>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</si>
  <si>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</si>
  <si>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</si>
  <si>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</si>
  <si>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</si>
  <si>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</si>
  <si>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</si>
  <si>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</si>
  <si>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</si>
  <si>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</si>
  <si>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</si>
  <si>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</si>
  <si>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</si>
  <si>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</si>
  <si>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</si>
  <si>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</si>
  <si>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</si>
  <si>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</si>
  <si>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</si>
  <si>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</si>
  <si>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</si>
  <si>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</si>
  <si>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</si>
  <si>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</si>
  <si>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</si>
  <si>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</si>
  <si>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</si>
  <si>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</si>
  <si>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</si>
  <si>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</si>
  <si>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</si>
  <si>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</si>
  <si>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</si>
  <si>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</si>
  <si>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</si>
  <si>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</si>
  <si>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</si>
  <si>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</si>
  <si>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</si>
  <si>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</si>
  <si>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</si>
  <si>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</si>
  <si>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</si>
  <si>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</si>
  <si>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</si>
  <si>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</si>
  <si>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</si>
  <si>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</si>
  <si>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</si>
  <si>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</si>
  <si>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</si>
  <si>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</si>
  <si>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</si>
  <si>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</si>
  <si>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</si>
  <si>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</si>
  <si>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</si>
  <si>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</si>
  <si>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</si>
  <si>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</si>
  <si>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</si>
  <si>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</si>
  <si>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</si>
  <si>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</si>
  <si>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</si>
  <si>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</si>
  <si>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</si>
  <si>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</si>
  <si>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</si>
  <si>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</si>
  <si>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</si>
  <si>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</si>
  <si>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</si>
  <si>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</si>
  <si>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</si>
  <si>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</si>
  <si>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</si>
  <si>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</si>
  <si>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</si>
  <si>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</si>
  <si>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</si>
  <si>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</si>
  <si>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</si>
  <si>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</si>
  <si>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</si>
  <si>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</si>
  <si>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</si>
  <si>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</si>
  <si>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</si>
  <si>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</si>
  <si>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</si>
  <si>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</si>
  <si>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</si>
  <si>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</si>
  <si>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</si>
  <si>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</si>
  <si>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</si>
  <si>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</si>
  <si>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</si>
  <si>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</si>
  <si>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</si>
  <si>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</si>
  <si>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</si>
  <si>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</si>
  <si>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</si>
  <si>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</si>
  <si>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</si>
  <si>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</si>
  <si>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</si>
  <si>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</si>
  <si>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</si>
  <si>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</si>
  <si>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</si>
  <si>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</si>
  <si>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</si>
  <si>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</si>
  <si>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</si>
  <si>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</si>
  <si>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</si>
  <si>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</si>
  <si>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</si>
  <si>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</si>
  <si>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</si>
  <si>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</si>
  <si>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</si>
  <si>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</si>
  <si>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</si>
  <si>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</si>
  <si>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</si>
  <si>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</si>
  <si>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</si>
  <si>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</si>
  <si>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</si>
  <si>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</si>
  <si>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</si>
  <si>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</si>
  <si>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</si>
  <si>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</si>
  <si>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</si>
  <si>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</si>
  <si>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</si>
  <si>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</si>
  <si>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</si>
  <si>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</si>
  <si>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</si>
  <si>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</si>
  <si>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</si>
  <si>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</si>
  <si>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</si>
  <si>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</si>
  <si>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</si>
  <si>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</si>
  <si>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</si>
  <si>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</si>
  <si>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</si>
  <si>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</si>
  <si>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</si>
  <si>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</si>
  <si>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</si>
  <si>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</si>
  <si>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</si>
  <si>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</si>
  <si>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</si>
  <si>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</si>
  <si>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</si>
  <si>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</si>
  <si>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</si>
  <si>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</si>
  <si>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</si>
  <si>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</si>
  <si>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</si>
  <si>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</si>
  <si>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</si>
  <si>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</si>
  <si>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</si>
  <si>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</si>
  <si>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</si>
  <si>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</si>
  <si>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</si>
  <si>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</si>
  <si>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</si>
  <si>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</si>
  <si>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</si>
  <si>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</si>
  <si>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</si>
  <si>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</si>
  <si>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</si>
  <si>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</si>
  <si>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</si>
  <si>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</si>
  <si>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</si>
  <si>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</si>
  <si>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</si>
  <si>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</si>
  <si>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</si>
  <si>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</si>
  <si>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</si>
  <si>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</si>
  <si>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</si>
  <si>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</si>
  <si>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</si>
  <si>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</si>
  <si>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</si>
  <si>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</si>
  <si>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</si>
  <si>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</si>
  <si>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</si>
  <si>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</si>
  <si>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</si>
  <si>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</si>
  <si>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</si>
  <si>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</si>
  <si>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</si>
  <si>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</si>
  <si>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</si>
  <si>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</si>
  <si>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</si>
  <si>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</si>
  <si>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</si>
  <si>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</si>
  <si>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</si>
  <si>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</si>
  <si>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</si>
  <si>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</si>
  <si>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</si>
  <si>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</si>
  <si>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</si>
  <si>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</si>
  <si>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</si>
  <si>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</si>
  <si>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</si>
  <si>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</si>
  <si>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</si>
  <si>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</si>
  <si>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</si>
  <si>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</si>
  <si>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</si>
  <si>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</si>
  <si>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</si>
  <si>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</si>
  <si>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</si>
  <si>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</si>
  <si>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</si>
  <si>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</si>
  <si>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</si>
  <si>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</si>
  <si>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</si>
  <si>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</si>
  <si>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</si>
  <si>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</si>
  <si>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</si>
  <si>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</si>
  <si>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</si>
  <si>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</si>
  <si>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</si>
  <si>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</si>
  <si>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</si>
  <si>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</si>
  <si>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</si>
  <si>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</si>
  <si>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</si>
  <si>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</si>
  <si>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</si>
  <si>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</si>
  <si>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</si>
  <si>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</si>
  <si>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</si>
  <si>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</si>
  <si>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</si>
  <si>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</si>
  <si>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</si>
  <si>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</si>
  <si>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</si>
  <si>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</si>
  <si>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</si>
  <si>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</si>
  <si>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</si>
  <si>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</si>
  <si>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</si>
  <si>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</si>
  <si>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</si>
  <si>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</si>
  <si>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</si>
  <si>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</si>
  <si>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</si>
  <si>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</si>
  <si>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</si>
  <si>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</si>
  <si>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</si>
  <si>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</si>
  <si>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</si>
  <si>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</si>
  <si>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</si>
  <si>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</si>
  <si>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</si>
  <si>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</si>
  <si>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</si>
  <si>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</si>
  <si>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</si>
  <si>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</si>
  <si>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</si>
  <si>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</si>
  <si>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</si>
  <si>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</si>
  <si>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</si>
  <si>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</si>
  <si>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</si>
  <si>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</si>
  <si>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</si>
  <si>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</si>
  <si>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</si>
  <si>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</si>
  <si>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</si>
  <si>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</si>
  <si>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</si>
  <si>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</si>
  <si>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</si>
  <si>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</si>
  <si>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</si>
  <si>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</si>
  <si>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</si>
  <si>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</si>
  <si>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</si>
  <si>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</si>
  <si>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</si>
  <si>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</si>
  <si>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</si>
  <si>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</si>
  <si>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</si>
  <si>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</si>
  <si>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</si>
  <si>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</si>
  <si>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</si>
  <si>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</si>
  <si>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</si>
  <si>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</si>
  <si>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</si>
  <si>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</si>
  <si>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</si>
  <si>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</si>
  <si>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</si>
  <si>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</si>
  <si>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</si>
  <si>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</si>
  <si>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</si>
  <si>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</si>
  <si>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</si>
  <si>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</si>
  <si>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</si>
  <si>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</si>
  <si>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</si>
  <si>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</si>
  <si>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</si>
  <si>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</si>
  <si>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</si>
  <si>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</si>
  <si>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</si>
  <si>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</si>
  <si>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</si>
  <si>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</si>
  <si>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</si>
  <si>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</si>
  <si>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</si>
  <si>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</si>
  <si>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</si>
  <si>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</si>
  <si>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</si>
  <si>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</si>
  <si>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</si>
  <si>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</si>
  <si>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</si>
  <si>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</si>
  <si>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</si>
  <si>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</si>
  <si>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</si>
  <si>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</si>
  <si>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</si>
  <si>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</si>
  <si>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</si>
  <si>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</si>
  <si>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</si>
  <si>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</si>
  <si>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</si>
  <si>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</si>
  <si>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</si>
  <si>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</si>
  <si>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</si>
  <si>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</si>
  <si>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</si>
  <si>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</si>
  <si>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</si>
  <si>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</si>
  <si>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</si>
  <si>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</si>
  <si>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</si>
  <si>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</si>
  <si>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</si>
  <si>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</si>
  <si>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</si>
  <si>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</si>
  <si>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</si>
  <si>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</si>
  <si>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</si>
  <si>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</si>
  <si>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</si>
  <si>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</si>
  <si>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</si>
  <si>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</si>
  <si>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</si>
  <si>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</si>
  <si>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</si>
  <si>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</si>
  <si>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</si>
  <si>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</si>
  <si>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</si>
  <si>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</si>
  <si>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</si>
  <si>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</si>
  <si>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</si>
  <si>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</si>
  <si>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</si>
  <si>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</si>
  <si>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</si>
  <si>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</si>
  <si>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</si>
  <si>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</si>
  <si>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</si>
  <si>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</si>
  <si>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</si>
  <si>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</si>
  <si>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</si>
  <si>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</si>
  <si>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</si>
  <si>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</si>
  <si>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</si>
  <si>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</si>
  <si>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</si>
  <si>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</si>
  <si>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</si>
  <si>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</si>
  <si>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</si>
  <si>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</si>
  <si>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</si>
  <si>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</si>
  <si>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</si>
  <si>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</si>
  <si>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</si>
  <si>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</si>
  <si>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</si>
  <si>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</si>
  <si>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</si>
  <si>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</si>
  <si>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</si>
  <si>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</si>
  <si>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</si>
  <si>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</si>
  <si>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</si>
  <si>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</si>
  <si>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</si>
  <si>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</si>
  <si>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</si>
  <si>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</si>
  <si>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</si>
  <si>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</si>
  <si>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</si>
  <si>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</si>
  <si>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</si>
  <si>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</si>
  <si>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</si>
  <si>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</si>
  <si>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</si>
  <si>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</si>
  <si>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</si>
  <si>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</si>
  <si>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</si>
  <si>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</si>
  <si>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</si>
  <si>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</si>
  <si>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</si>
  <si>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</si>
  <si>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</si>
  <si>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</si>
  <si>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</si>
  <si>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</si>
  <si>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</si>
  <si>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</si>
  <si>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</si>
  <si>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</si>
  <si>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</si>
  <si>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</si>
  <si>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</si>
  <si>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</si>
  <si>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</si>
  <si>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</si>
  <si>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</si>
  <si>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</si>
  <si>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</si>
  <si>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</si>
  <si>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</si>
  <si>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</si>
  <si>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</si>
  <si>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</si>
  <si>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</si>
  <si>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</si>
  <si>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</si>
  <si>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</si>
  <si>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</si>
  <si>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</si>
  <si>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</si>
  <si>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</si>
  <si>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</si>
  <si>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</si>
  <si>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</si>
  <si>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</si>
  <si>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</si>
  <si>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</si>
  <si>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</si>
  <si>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</si>
  <si>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</si>
  <si>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</si>
  <si>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</si>
  <si>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</si>
  <si>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</si>
  <si>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</si>
  <si>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</si>
  <si>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</si>
  <si>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</si>
  <si>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</si>
  <si>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</si>
  <si>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</si>
  <si>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</si>
  <si>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</si>
  <si>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</si>
  <si>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</si>
  <si>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</si>
  <si>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</si>
  <si>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</si>
  <si>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</si>
  <si>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</si>
  <si>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</si>
  <si>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</si>
  <si>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</si>
  <si>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</si>
  <si>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</si>
  <si>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</si>
  <si>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</si>
  <si>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</si>
  <si>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</si>
  <si>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</si>
  <si>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</si>
  <si>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</si>
  <si>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</si>
  <si>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</si>
  <si>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</si>
  <si>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</si>
  <si>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</si>
  <si>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</si>
  <si>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</si>
  <si>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</si>
  <si>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</si>
  <si>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</si>
  <si>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</si>
  <si>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</si>
  <si>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</si>
  <si>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</si>
  <si>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</si>
  <si>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</si>
  <si>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</si>
  <si>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</si>
  <si>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</si>
  <si>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</si>
  <si>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</si>
  <si>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</si>
  <si>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</si>
  <si>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</si>
  <si>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</si>
  <si>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</si>
  <si>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</si>
  <si>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</si>
  <si>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</si>
  <si>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</si>
  <si>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</si>
  <si>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</si>
  <si>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</si>
  <si>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</si>
  <si>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</si>
  <si>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</si>
  <si>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</si>
  <si>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</si>
  <si>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</si>
  <si>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</si>
  <si>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</si>
  <si>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</si>
  <si>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</si>
  <si>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</si>
  <si>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</si>
  <si>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</si>
  <si>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</si>
  <si>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</si>
  <si>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</si>
  <si>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</si>
  <si>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</si>
  <si>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</si>
  <si>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</si>
  <si>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</si>
  <si>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</si>
  <si>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</si>
  <si>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</si>
  <si>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</si>
  <si>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</si>
  <si>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</si>
  <si>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</si>
  <si>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</si>
  <si>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</si>
  <si>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</si>
  <si>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</si>
  <si>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</si>
  <si>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</si>
  <si>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</si>
  <si>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</si>
  <si>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</si>
  <si>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</si>
  <si>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</si>
  <si>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</si>
  <si>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</si>
  <si>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</si>
  <si>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</si>
  <si>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</si>
  <si>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</si>
  <si>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</si>
  <si>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</si>
  <si>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</si>
  <si>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</si>
  <si>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</si>
  <si>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</si>
  <si>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</si>
  <si>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</si>
  <si>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</si>
  <si>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</si>
  <si>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</si>
  <si>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</si>
  <si>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</si>
  <si>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</si>
  <si>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</si>
  <si>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</si>
  <si>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</si>
  <si>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</si>
  <si>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</si>
  <si>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</si>
  <si>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</si>
  <si>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</si>
  <si>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</si>
  <si>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</si>
  <si>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</si>
  <si>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</si>
  <si>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</si>
  <si>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</si>
  <si>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</si>
  <si>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</si>
  <si>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</si>
  <si>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</si>
  <si>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</si>
  <si>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</si>
  <si>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</si>
  <si>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</si>
  <si>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</si>
  <si>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</si>
  <si>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</si>
  <si>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</si>
  <si>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</si>
  <si>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</si>
  <si>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</si>
  <si>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</si>
  <si>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</si>
  <si>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</si>
  <si>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</si>
  <si>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</si>
  <si>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</si>
  <si>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</si>
  <si>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</si>
  <si>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</si>
  <si>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</si>
  <si>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</si>
  <si>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</si>
  <si>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</si>
  <si>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</si>
  <si>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</si>
  <si>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</si>
  <si>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</si>
  <si>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</si>
  <si>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</si>
  <si>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</si>
  <si>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</si>
  <si>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</si>
  <si>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</si>
  <si>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</si>
  <si>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</si>
  <si>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</si>
  <si>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</si>
  <si>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</si>
  <si>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</si>
  <si>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</si>
  <si>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</si>
  <si>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</si>
  <si>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</si>
  <si>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</si>
  <si>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</si>
  <si>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</si>
  <si>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</si>
  <si>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</si>
  <si>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</si>
  <si>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</si>
  <si>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</si>
  <si>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</si>
  <si>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</si>
  <si>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</si>
  <si>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</si>
  <si>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</si>
  <si>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</si>
  <si>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</si>
  <si>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</si>
  <si>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</si>
  <si>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</si>
  <si>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</si>
  <si>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</si>
  <si>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</si>
  <si>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</si>
  <si>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</si>
  <si>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</si>
  <si>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</si>
  <si>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</si>
  <si>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</si>
  <si>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</si>
  <si>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</si>
  <si>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</si>
  <si>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</si>
  <si>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</si>
  <si>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</si>
  <si>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</si>
  <si>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</si>
  <si>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</si>
  <si>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</si>
  <si>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</si>
  <si>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</si>
  <si>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</si>
  <si>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</si>
  <si>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</si>
  <si>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</si>
  <si>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</si>
  <si>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</si>
  <si>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</si>
  <si>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</si>
  <si>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</si>
  <si>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</si>
  <si>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</si>
  <si>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</si>
  <si>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</si>
  <si>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</si>
  <si>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</si>
  <si>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</si>
  <si>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</si>
  <si>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</si>
  <si>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</si>
  <si>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</si>
  <si>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</si>
  <si>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</si>
  <si>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</si>
  <si>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</si>
  <si>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</si>
  <si>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</si>
  <si>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</si>
  <si>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</si>
  <si>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</si>
  <si>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</si>
  <si>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</si>
  <si>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</si>
  <si>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</si>
  <si>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</si>
  <si>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</si>
  <si>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</si>
  <si>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</si>
  <si>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</si>
  <si>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</si>
  <si>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</si>
  <si>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</si>
  <si>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</si>
  <si>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</si>
  <si>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</si>
  <si>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</si>
  <si>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</si>
  <si>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</si>
  <si>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</si>
  <si>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</si>
  <si>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</si>
  <si>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</si>
  <si>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</si>
  <si>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</si>
  <si>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</si>
  <si>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</si>
  <si>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</si>
  <si>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</si>
  <si>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</si>
  <si>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</si>
  <si>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</si>
  <si>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</si>
  <si>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</si>
  <si>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</si>
  <si>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</si>
  <si>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</si>
  <si>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</si>
  <si>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</si>
  <si>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</si>
  <si>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</si>
  <si>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</si>
  <si>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</si>
  <si>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</si>
  <si>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</si>
  <si>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</si>
  <si>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</si>
  <si>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</si>
  <si>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</si>
  <si>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</si>
  <si>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</si>
  <si>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</si>
  <si>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</si>
  <si>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</si>
  <si>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</si>
  <si>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</si>
  <si>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</si>
  <si>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</si>
  <si>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</si>
  <si>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</si>
  <si>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</si>
  <si>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</si>
  <si>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</si>
  <si>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</si>
  <si>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</si>
  <si>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</si>
  <si>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</si>
  <si>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</si>
  <si>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</si>
  <si>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</si>
  <si>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</si>
  <si>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</si>
  <si>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</si>
  <si>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</si>
  <si>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</si>
  <si>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</si>
  <si>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</si>
  <si>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</si>
  <si>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</si>
  <si>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</si>
  <si>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</si>
  <si>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</si>
  <si>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</si>
  <si>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</si>
  <si>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</si>
  <si>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</si>
  <si>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</si>
  <si>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</si>
  <si>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</si>
  <si>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</si>
  <si>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</si>
  <si>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</si>
  <si>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</si>
  <si>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</si>
  <si>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</si>
  <si>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</si>
  <si>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</si>
  <si>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</si>
  <si>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</si>
  <si>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</si>
  <si>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</si>
  <si>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</si>
  <si>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</si>
  <si>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</si>
  <si>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</si>
  <si>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</si>
  <si>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</si>
  <si>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</si>
  <si>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</si>
  <si>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</si>
  <si>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</si>
  <si>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</si>
  <si>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</si>
  <si>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</si>
  <si>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</si>
  <si>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</si>
  <si>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</si>
  <si>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</si>
  <si>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</si>
  <si>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</si>
  <si>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</si>
  <si>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</si>
  <si>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</si>
  <si>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</si>
  <si>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</si>
  <si>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</si>
  <si>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</si>
  <si>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</si>
  <si>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</si>
  <si>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</si>
  <si>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</si>
  <si>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</si>
  <si>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</si>
  <si>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</si>
  <si>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</si>
  <si>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</si>
  <si>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</si>
  <si>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</si>
  <si>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</si>
  <si>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</si>
  <si>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</si>
  <si>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</si>
  <si>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</si>
  <si>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</si>
  <si>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</si>
  <si>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</si>
  <si>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</si>
  <si>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</si>
  <si>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</si>
  <si>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</si>
  <si>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</si>
  <si>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</si>
  <si>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</si>
  <si>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</si>
  <si>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</si>
  <si>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</si>
  <si>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</si>
  <si>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</si>
  <si>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</si>
  <si>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</si>
  <si>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</si>
  <si>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</si>
  <si>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</si>
  <si>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</si>
  <si>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</si>
  <si>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</si>
  <si>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</si>
  <si>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</si>
  <si>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</si>
  <si>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</si>
  <si>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</si>
  <si>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</si>
  <si>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</si>
  <si>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</si>
  <si>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</si>
  <si>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</si>
  <si>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</si>
  <si>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</si>
  <si>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</si>
  <si>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</si>
  <si>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</si>
  <si>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</si>
  <si>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</si>
  <si>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</si>
  <si>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</si>
  <si>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</si>
  <si>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</si>
  <si>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</si>
  <si>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</si>
  <si>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</si>
  <si>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</si>
  <si>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</si>
  <si>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</si>
  <si>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</si>
  <si>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</si>
  <si>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</si>
  <si>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</si>
  <si>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</si>
  <si>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</si>
  <si>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</si>
  <si>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</si>
  <si>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</si>
  <si>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</si>
  <si>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</si>
  <si>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</si>
  <si>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</si>
  <si>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</si>
  <si>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</si>
  <si>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</si>
  <si>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</si>
  <si>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</si>
  <si>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</si>
  <si>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</si>
  <si>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</si>
  <si>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</si>
  <si>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</si>
  <si>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</si>
  <si>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</si>
  <si>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</si>
  <si>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</si>
  <si>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</si>
  <si>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</si>
  <si>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</si>
  <si>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</si>
  <si>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</si>
  <si>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</si>
  <si>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</si>
  <si>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</si>
  <si>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</si>
  <si>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</si>
  <si>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</si>
  <si>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</si>
  <si>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</si>
  <si>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</si>
  <si>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</si>
  <si>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</si>
  <si>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</si>
  <si>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</si>
  <si>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</si>
  <si>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</si>
  <si>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</si>
  <si>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</si>
  <si>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</si>
  <si>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</si>
  <si>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</si>
  <si>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</si>
  <si>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</si>
  <si>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</si>
  <si>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</si>
  <si>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</si>
  <si>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</si>
  <si>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</si>
  <si>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</si>
  <si>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</si>
  <si>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</si>
  <si>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</si>
  <si>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</si>
  <si>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</si>
  <si>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</si>
  <si>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</si>
  <si>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</si>
  <si>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</si>
  <si>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</si>
  <si>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</si>
  <si>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</si>
  <si>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</si>
  <si>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</si>
  <si>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</si>
  <si>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</si>
  <si>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</si>
  <si>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</si>
  <si>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</si>
  <si>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</si>
  <si>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</si>
  <si>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</si>
  <si>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</si>
  <si>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</si>
  <si>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</si>
  <si>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</si>
  <si>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</si>
  <si>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</si>
  <si>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</si>
  <si>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</si>
  <si>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</si>
  <si>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</si>
  <si>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</si>
  <si>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</si>
  <si>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</si>
  <si>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</si>
  <si>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</si>
  <si>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</si>
  <si>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</si>
  <si>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</si>
  <si>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</si>
  <si>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</si>
  <si>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</si>
  <si>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</si>
  <si>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</si>
  <si>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</si>
  <si>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</si>
  <si>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</si>
  <si>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</si>
  <si>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</si>
  <si>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</si>
  <si>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</si>
  <si>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</si>
  <si>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</si>
  <si>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</si>
  <si>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</si>
  <si>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</si>
  <si>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</si>
  <si>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</si>
  <si>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</si>
  <si>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</si>
  <si>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</si>
  <si>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</si>
  <si>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</si>
  <si>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</si>
  <si>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</si>
  <si>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</si>
  <si>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</si>
  <si>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</si>
  <si>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</si>
  <si>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</si>
  <si>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</si>
  <si>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</si>
  <si>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</si>
  <si>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</si>
  <si>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</si>
  <si>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</si>
  <si>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</si>
  <si>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</si>
  <si>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</si>
  <si>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</si>
  <si>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</si>
  <si>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</si>
  <si>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</si>
  <si>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</si>
  <si>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</si>
  <si>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</si>
  <si>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</si>
  <si>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</si>
  <si>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</si>
  <si>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</si>
  <si>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</si>
  <si>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</si>
  <si>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</si>
  <si>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</si>
  <si>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</si>
  <si>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</si>
  <si>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</si>
  <si>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</si>
  <si>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</si>
  <si>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</si>
  <si>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</si>
  <si>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</si>
  <si>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</si>
  <si>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</si>
  <si>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</si>
  <si>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</si>
  <si>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</si>
  <si>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</si>
  <si>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</si>
  <si>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</si>
  <si>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</si>
  <si>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</si>
  <si>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</si>
  <si>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</si>
  <si>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</si>
  <si>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</si>
  <si>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</si>
  <si>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</si>
  <si>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</si>
  <si>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</si>
  <si>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</si>
  <si>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</si>
  <si>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</si>
  <si>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</si>
  <si>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</si>
  <si>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</si>
  <si>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</si>
  <si>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</si>
  <si>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</si>
  <si>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</si>
  <si>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</si>
  <si>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</si>
  <si>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</si>
  <si>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</si>
  <si>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</si>
  <si>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</si>
  <si>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</si>
  <si>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</si>
  <si>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</si>
  <si>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</si>
  <si>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</si>
  <si>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</si>
  <si>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</si>
  <si>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</si>
  <si>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</si>
  <si>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</si>
  <si>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</si>
  <si>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</si>
  <si>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</si>
  <si>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</si>
  <si>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</si>
  <si>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</si>
  <si>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</si>
  <si>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</si>
  <si>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</si>
  <si>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</si>
  <si>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</si>
  <si>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</si>
  <si>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</si>
  <si>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</si>
  <si>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</si>
  <si>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</si>
  <si>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</si>
  <si>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</si>
  <si>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</si>
  <si>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</si>
  <si>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</si>
  <si>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</si>
  <si>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</si>
  <si>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</si>
  <si>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</si>
  <si>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</si>
  <si>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</si>
  <si>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</si>
  <si>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</si>
  <si>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</si>
  <si>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</si>
  <si>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</si>
  <si>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</si>
  <si>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</si>
  <si>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</si>
  <si>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</si>
  <si>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</si>
  <si>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</si>
  <si>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</si>
  <si>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</si>
  <si>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</si>
  <si>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</si>
  <si>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</si>
  <si>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</si>
  <si>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</si>
  <si>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</si>
  <si>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</si>
  <si>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</si>
  <si>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</si>
  <si>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</si>
  <si>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</si>
  <si>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</si>
  <si>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</si>
  <si>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</si>
  <si>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</si>
  <si>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</si>
  <si>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</si>
  <si>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</si>
  <si>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</si>
  <si>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</si>
  <si>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</si>
  <si>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</si>
  <si>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</si>
  <si>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</si>
  <si>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</si>
  <si>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</si>
  <si>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</si>
  <si>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</si>
  <si>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</si>
  <si>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</si>
  <si>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</si>
  <si>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</si>
  <si>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</si>
  <si>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</si>
  <si>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</si>
  <si>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</si>
  <si>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</si>
  <si>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</si>
  <si>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</si>
  <si>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</si>
  <si>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</si>
  <si>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</si>
  <si>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</si>
  <si>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</si>
  <si>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</si>
  <si>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</si>
  <si>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</si>
  <si>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</si>
  <si>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</si>
  <si>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</si>
  <si>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</si>
  <si>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</si>
  <si>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</si>
  <si>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</si>
  <si>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</si>
  <si>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</si>
  <si>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</si>
  <si>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</si>
  <si>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</si>
  <si>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</si>
  <si>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</si>
  <si>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</si>
  <si>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</si>
  <si>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</si>
  <si>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</si>
  <si>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</si>
  <si>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</si>
  <si>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</si>
  <si>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</si>
  <si>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</si>
  <si>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</si>
  <si>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</si>
  <si>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</si>
  <si>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</si>
  <si>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</si>
  <si>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</si>
  <si>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</si>
  <si>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</si>
  <si>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</si>
  <si>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</si>
  <si>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</si>
  <si>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</si>
  <si>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</si>
  <si>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</si>
  <si>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</si>
  <si>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</si>
  <si>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</si>
  <si>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</si>
  <si>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</si>
  <si>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</si>
  <si>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</si>
  <si>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</si>
  <si>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</si>
  <si>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</si>
  <si>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</si>
  <si>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</si>
  <si>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</si>
  <si>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</si>
  <si>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</si>
  <si>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</si>
  <si>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</si>
  <si>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</si>
  <si>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</si>
  <si>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</si>
  <si>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</si>
  <si>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</si>
  <si>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</si>
  <si>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</si>
  <si>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</si>
  <si>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</si>
  <si>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</si>
  <si>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</si>
  <si>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</si>
  <si>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</si>
  <si>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</si>
  <si>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</si>
  <si>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</si>
  <si>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</si>
  <si>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</si>
  <si>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</si>
  <si>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</si>
  <si>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</si>
  <si>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</si>
  <si>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</si>
  <si>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</si>
  <si>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</si>
  <si>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</si>
  <si>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</si>
  <si>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</si>
  <si>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</si>
  <si>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</si>
  <si>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</si>
  <si>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</si>
  <si>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</si>
  <si>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</si>
  <si>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</si>
  <si>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</si>
  <si>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</si>
  <si>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</si>
  <si>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</si>
  <si>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</si>
  <si>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</si>
  <si>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</si>
  <si>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</si>
  <si>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</si>
  <si>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</si>
  <si>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</si>
  <si>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</si>
  <si>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</si>
  <si>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</si>
  <si>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</si>
  <si>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</si>
  <si>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</si>
  <si>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</si>
  <si>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</si>
  <si>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</si>
  <si>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</si>
  <si>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</si>
  <si>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</si>
  <si>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</si>
  <si>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</si>
  <si>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</si>
  <si>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</si>
  <si>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</si>
  <si>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</si>
  <si>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</si>
  <si>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</si>
  <si>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</si>
  <si>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</si>
  <si>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</si>
  <si>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</si>
  <si>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</si>
  <si>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</si>
  <si>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</si>
  <si>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</si>
  <si>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</si>
  <si>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</si>
  <si>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</si>
  <si>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</si>
  <si>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</si>
  <si>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</si>
  <si>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</si>
  <si>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</si>
  <si>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</si>
  <si>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</si>
  <si>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</si>
  <si>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</si>
  <si>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</si>
  <si>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</si>
  <si>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</si>
  <si>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</si>
  <si>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</si>
  <si>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</si>
  <si>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</si>
  <si>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</si>
  <si>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</si>
  <si>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</si>
  <si>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</si>
  <si>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</si>
  <si>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</si>
  <si>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</si>
  <si>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</si>
  <si>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</si>
  <si>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</si>
  <si>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</si>
  <si>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</si>
  <si>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</si>
  <si>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</si>
  <si>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</si>
  <si>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</si>
  <si>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</si>
  <si>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</si>
  <si>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</si>
  <si>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</si>
  <si>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</si>
  <si>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</si>
  <si>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</si>
  <si>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</si>
  <si>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</si>
  <si>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</si>
  <si>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</si>
  <si>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</si>
  <si>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</si>
  <si>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</si>
  <si>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</si>
  <si>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</si>
  <si>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</si>
  <si>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</si>
  <si>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</si>
  <si>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</si>
  <si>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</si>
  <si>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</si>
  <si>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</si>
  <si>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</si>
  <si>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</si>
  <si>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</si>
  <si>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</si>
  <si>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</si>
  <si>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</si>
  <si>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</si>
  <si>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</si>
  <si>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</si>
  <si>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</si>
  <si>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</si>
  <si>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</si>
  <si>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</si>
  <si>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</si>
  <si>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</si>
  <si>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</si>
  <si>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</si>
  <si>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</si>
  <si>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</si>
  <si>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</si>
  <si>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</si>
  <si>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</si>
  <si>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</si>
  <si>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</si>
  <si>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</si>
  <si>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</si>
  <si>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</si>
  <si>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</si>
  <si>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</si>
  <si>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</si>
  <si>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</si>
  <si>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</si>
  <si>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</si>
  <si>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</si>
  <si>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</si>
  <si>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</si>
  <si>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</si>
  <si>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</si>
  <si>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</si>
  <si>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</si>
  <si>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</si>
  <si>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</si>
  <si>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</si>
  <si>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</si>
  <si>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</si>
  <si>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</si>
  <si>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</si>
  <si>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</si>
  <si>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</si>
  <si>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</si>
  <si>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</si>
  <si>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</si>
  <si>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</si>
  <si>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</si>
  <si>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</si>
  <si>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</si>
  <si>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</si>
  <si>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</si>
  <si>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</si>
  <si>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</si>
  <si>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</si>
  <si>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</si>
  <si>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</si>
  <si>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</si>
  <si>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</si>
  <si>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</si>
  <si>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</si>
  <si>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</si>
  <si>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</si>
  <si>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</si>
  <si>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</si>
  <si>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</si>
  <si>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</si>
  <si>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</si>
  <si>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</si>
  <si>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</si>
  <si>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</si>
  <si>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</si>
  <si>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</si>
  <si>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</si>
  <si>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</si>
  <si>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</si>
  <si>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</si>
  <si>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</si>
  <si>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</si>
  <si>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</si>
  <si>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</si>
  <si>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</si>
  <si>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</si>
  <si>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</si>
  <si>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</si>
  <si>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</si>
  <si>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</si>
  <si>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</si>
  <si>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</si>
  <si>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</si>
  <si>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</si>
  <si>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</si>
  <si>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</si>
  <si>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</si>
  <si>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</si>
  <si>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</si>
  <si>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</si>
  <si>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</si>
  <si>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</si>
  <si>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</si>
  <si>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</si>
  <si>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</si>
  <si>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</si>
  <si>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</si>
  <si>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</si>
  <si>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</si>
  <si>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</si>
  <si>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</si>
  <si>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</si>
  <si>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</si>
  <si>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</si>
  <si>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</si>
  <si>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</si>
  <si>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</si>
  <si>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</si>
  <si>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</si>
  <si>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</si>
  <si>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</si>
  <si>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</si>
  <si>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</si>
  <si>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</si>
  <si>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</si>
  <si>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</si>
  <si>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</si>
  <si>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</si>
  <si>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</si>
  <si>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</si>
  <si>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</si>
  <si>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</si>
  <si>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</si>
  <si>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</si>
  <si>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</si>
  <si>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</si>
  <si>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</si>
  <si>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</si>
  <si>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</si>
  <si>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</si>
  <si>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</si>
  <si>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</si>
  <si>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</si>
  <si>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</si>
  <si>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</si>
  <si>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</si>
  <si>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</si>
  <si>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</si>
  <si>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</si>
  <si>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</si>
  <si>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</si>
  <si>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</si>
  <si>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</si>
  <si>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</si>
  <si>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</si>
  <si>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</si>
  <si>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</si>
  <si>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</si>
  <si>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</si>
  <si>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</si>
  <si>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</si>
  <si>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</si>
  <si>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</si>
  <si>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</si>
  <si>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</si>
  <si>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</si>
  <si>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</si>
  <si>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</si>
  <si>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</si>
  <si>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</si>
  <si>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</si>
  <si>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</si>
  <si>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</si>
  <si>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</si>
  <si>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</si>
  <si>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</si>
  <si>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</si>
  <si>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</si>
  <si>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</si>
  <si>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</si>
  <si>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</si>
  <si>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</si>
  <si>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</si>
  <si>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</si>
  <si>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</si>
  <si>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</si>
  <si>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</si>
  <si>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</si>
  <si>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</si>
  <si>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</si>
  <si>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</si>
  <si>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</si>
  <si>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</si>
  <si>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</si>
  <si>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</si>
  <si>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</si>
  <si>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</si>
  <si>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</si>
  <si>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</si>
  <si>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</si>
  <si>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</si>
  <si>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</si>
  <si>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</si>
  <si>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</si>
  <si>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</si>
  <si>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</si>
  <si>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</si>
  <si>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</si>
  <si>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</si>
  <si>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</si>
  <si>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</si>
  <si>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</si>
  <si>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</si>
  <si>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</si>
  <si>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</si>
  <si>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</si>
  <si>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</si>
  <si>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</si>
  <si>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</si>
  <si>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</si>
  <si>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</si>
  <si>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</si>
  <si>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</si>
  <si>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</si>
  <si>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</si>
  <si>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</si>
  <si>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</si>
  <si>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</si>
  <si>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</si>
  <si>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</si>
  <si>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</si>
  <si>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</si>
  <si>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</si>
  <si>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</si>
  <si>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</si>
  <si>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</si>
  <si>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</si>
  <si>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</si>
  <si>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</si>
  <si>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</si>
  <si>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</si>
  <si>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</si>
  <si>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</si>
  <si>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</si>
  <si>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</si>
  <si>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</si>
  <si>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</si>
  <si>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</si>
  <si>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</si>
  <si>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</si>
  <si>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</si>
  <si>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</si>
  <si>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</si>
  <si>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</si>
  <si>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</si>
  <si>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</si>
  <si>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</si>
  <si>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</si>
  <si>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</si>
  <si>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</si>
  <si>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</si>
  <si>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</si>
  <si>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</si>
  <si>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</si>
  <si>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</si>
  <si>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</si>
  <si>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</si>
  <si>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</si>
  <si>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</si>
  <si>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</si>
  <si>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</si>
  <si>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</si>
  <si>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</si>
  <si>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</si>
  <si>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</si>
  <si>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</si>
  <si>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</si>
  <si>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</si>
  <si>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</si>
  <si>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</si>
  <si>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</si>
  <si>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</si>
  <si>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</si>
  <si>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</si>
  <si>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</si>
  <si>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</si>
  <si>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</si>
  <si>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</si>
  <si>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</si>
  <si>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</si>
  <si>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</si>
  <si>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</si>
  <si>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</si>
  <si>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</si>
  <si>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</si>
  <si>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</si>
  <si>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</si>
  <si>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</si>
  <si>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</si>
  <si>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</si>
  <si>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</si>
  <si>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</si>
  <si>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</si>
  <si>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</si>
  <si>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</si>
  <si>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</si>
  <si>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</si>
  <si>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</si>
  <si>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</si>
  <si>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</si>
  <si>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</si>
  <si>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</si>
  <si>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</si>
  <si>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</si>
  <si>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</si>
  <si>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</si>
  <si>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</si>
  <si>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</si>
  <si>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</si>
  <si>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</si>
  <si>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</si>
  <si>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</si>
  <si>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</si>
  <si>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</si>
  <si>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</si>
  <si>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</si>
  <si>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</si>
  <si>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</si>
  <si>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</si>
  <si>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</si>
  <si>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</si>
  <si>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</si>
  <si>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</si>
  <si>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</si>
  <si>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</si>
  <si>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</si>
  <si>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</si>
  <si>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</si>
  <si>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</si>
  <si>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</si>
  <si>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</si>
  <si>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</si>
  <si>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</si>
  <si>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</si>
  <si>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</si>
  <si>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</si>
  <si>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</si>
  <si>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</si>
  <si>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</si>
  <si>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</si>
  <si>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</si>
  <si>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</si>
  <si>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</si>
  <si>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</si>
  <si>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</si>
  <si>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</si>
  <si>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</si>
  <si>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</si>
  <si>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</si>
  <si>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</si>
  <si>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</si>
  <si>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</si>
  <si>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</si>
  <si>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</si>
  <si>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</si>
  <si>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</si>
  <si>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</si>
  <si>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</si>
  <si>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</si>
  <si>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</si>
  <si>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</si>
  <si>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</si>
  <si>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</si>
  <si>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</si>
  <si>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</si>
  <si>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</si>
  <si>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</si>
  <si>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</si>
  <si>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</si>
  <si>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</si>
  <si>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</si>
  <si>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</si>
  <si>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</si>
  <si>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</si>
  <si>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</si>
  <si>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</si>
  <si>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</si>
  <si>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</si>
  <si>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</si>
  <si>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</si>
  <si>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</si>
  <si>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</si>
  <si>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</si>
  <si>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</si>
  <si>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</si>
  <si>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</si>
  <si>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</si>
  <si>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</si>
  <si>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</si>
  <si>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</si>
  <si>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</si>
  <si>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</si>
  <si>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</si>
  <si>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</si>
  <si>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</si>
  <si>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</si>
  <si>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</si>
  <si>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</si>
  <si>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</si>
  <si>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</si>
  <si>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</si>
  <si>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</si>
  <si>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</si>
  <si>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</si>
  <si>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</si>
  <si>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</si>
  <si>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</si>
  <si>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</si>
  <si>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</si>
  <si>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</si>
  <si>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</si>
  <si>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</si>
  <si>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</si>
  <si>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</si>
  <si>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</si>
  <si>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</si>
  <si>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</si>
  <si>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</si>
  <si>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</si>
  <si>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</si>
  <si>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</si>
  <si>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</si>
  <si>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</si>
  <si>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</si>
  <si>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</si>
  <si>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</si>
  <si>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</si>
  <si>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</si>
  <si>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</si>
  <si>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</si>
  <si>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</si>
  <si>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</si>
  <si>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</si>
  <si>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</si>
  <si>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</si>
  <si>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</si>
  <si>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</si>
  <si>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</si>
  <si>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</si>
  <si>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</si>
  <si>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</si>
  <si>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</si>
  <si>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</si>
  <si>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</si>
  <si>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</si>
  <si>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</si>
  <si>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</si>
  <si>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</si>
  <si>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</si>
  <si>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</si>
  <si>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</si>
  <si>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</si>
  <si>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</si>
  <si>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</si>
  <si>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</si>
  <si>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</si>
  <si>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</si>
  <si>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</si>
  <si>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</si>
  <si>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</si>
  <si>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</si>
  <si>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</si>
  <si>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</si>
  <si>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</si>
  <si>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</si>
  <si>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</si>
  <si>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</si>
  <si>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</si>
  <si>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</si>
  <si>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</si>
  <si>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</si>
  <si>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</si>
  <si>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</si>
  <si>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</si>
  <si>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</si>
  <si>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</si>
  <si>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</si>
  <si>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</si>
  <si>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</si>
  <si>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</si>
  <si>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</si>
  <si>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</si>
  <si>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</si>
  <si>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</si>
  <si>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</si>
  <si>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</si>
  <si>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</si>
  <si>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</si>
  <si>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</si>
  <si>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</si>
  <si>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</si>
  <si>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</si>
  <si>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</si>
  <si>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</si>
  <si>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</si>
  <si>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</si>
  <si>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</si>
  <si>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</si>
  <si>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</si>
  <si>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</si>
  <si>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</si>
  <si>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</si>
  <si>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</si>
  <si>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</si>
  <si>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</si>
  <si>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</si>
  <si>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</si>
  <si>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</si>
  <si>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</si>
  <si>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</si>
  <si>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</si>
  <si>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</si>
  <si>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</si>
  <si>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</si>
  <si>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</si>
  <si>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</si>
  <si>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</si>
  <si>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</si>
  <si>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</si>
  <si>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</si>
  <si>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</si>
  <si>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</si>
  <si>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</si>
  <si>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</si>
  <si>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</si>
  <si>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</si>
  <si>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</si>
  <si>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</si>
  <si>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</si>
  <si>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</si>
  <si>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</si>
  <si>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</si>
  <si>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</si>
  <si>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</si>
  <si>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</si>
  <si>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</si>
  <si>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</si>
  <si>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</si>
  <si>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</si>
  <si>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</si>
  <si>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</si>
  <si>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</si>
  <si>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</si>
  <si>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</si>
  <si>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</si>
  <si>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</si>
  <si>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</si>
  <si>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</si>
  <si>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</si>
  <si>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</si>
  <si>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</si>
  <si>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</si>
  <si>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</si>
  <si>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</si>
  <si>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</si>
  <si>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</si>
  <si>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</si>
  <si>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</si>
  <si>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</si>
  <si>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</si>
  <si>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</si>
  <si>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</si>
  <si>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</si>
  <si>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</si>
  <si>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</si>
  <si>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</si>
  <si>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</si>
  <si>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</si>
  <si>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</si>
  <si>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</si>
  <si>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</si>
  <si>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</si>
  <si>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</si>
  <si>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</si>
  <si>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</si>
  <si>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</si>
  <si>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</si>
  <si>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</si>
  <si>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</si>
  <si>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</si>
  <si>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</si>
  <si>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</si>
  <si>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</si>
  <si>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</si>
  <si>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</si>
  <si>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</si>
  <si>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</si>
  <si>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</si>
  <si>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</si>
  <si>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</si>
  <si>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</si>
  <si>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</si>
  <si>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</si>
  <si>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</si>
  <si>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</si>
  <si>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</si>
  <si>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</si>
  <si>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</si>
  <si>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</si>
  <si>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</si>
  <si>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</si>
  <si>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</si>
  <si>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</si>
  <si>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</si>
  <si>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</si>
  <si>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</si>
  <si>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</si>
  <si>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</si>
  <si>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</si>
  <si>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</si>
  <si>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</si>
  <si>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</si>
  <si>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</si>
  <si>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</si>
  <si>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</si>
  <si>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</si>
  <si>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</si>
  <si>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</si>
  <si>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</si>
  <si>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</si>
  <si>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</si>
  <si>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</si>
  <si>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</si>
  <si>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</si>
  <si>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</si>
  <si>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</si>
  <si>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</si>
  <si>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</si>
  <si>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</si>
  <si>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</si>
  <si>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</si>
  <si>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</si>
  <si>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</si>
  <si>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</si>
  <si>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</si>
  <si>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</si>
  <si>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</si>
  <si>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</si>
  <si>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</si>
  <si>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</si>
  <si>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</si>
  <si>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</si>
  <si>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</si>
  <si>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</si>
  <si>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</si>
  <si>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</si>
  <si>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</si>
  <si>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</si>
  <si>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</si>
  <si>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</si>
  <si>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</si>
  <si>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</si>
  <si>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</si>
  <si>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</si>
  <si>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</si>
  <si>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</si>
  <si>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</si>
  <si>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</si>
  <si>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</si>
  <si>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</si>
  <si>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</si>
  <si>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</si>
  <si>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</si>
  <si>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</si>
  <si>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</si>
  <si>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</si>
  <si>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</si>
  <si>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</si>
  <si>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</si>
  <si>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</si>
  <si>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</si>
  <si>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</si>
  <si>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</si>
  <si>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</si>
  <si>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</si>
  <si>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</si>
  <si>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</si>
  <si>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</si>
  <si>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</si>
  <si>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</si>
  <si>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</si>
  <si>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</si>
  <si>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</si>
  <si>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</si>
  <si>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</si>
  <si>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</si>
  <si>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</si>
  <si>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</si>
  <si>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</si>
  <si>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</si>
  <si>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</si>
  <si>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</si>
  <si>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</si>
  <si>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</si>
  <si>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</si>
  <si>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</si>
  <si>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</si>
  <si>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</si>
  <si>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</si>
  <si>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</si>
  <si>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</si>
  <si>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</si>
  <si>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</si>
  <si>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</si>
  <si>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</si>
  <si>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</si>
  <si>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</si>
  <si>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</si>
  <si>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</si>
  <si>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</si>
  <si>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</si>
  <si>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</si>
  <si>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</si>
  <si>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</si>
  <si>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</si>
  <si>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</si>
  <si>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</si>
  <si>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</si>
  <si>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</si>
  <si>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</si>
  <si>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</si>
  <si>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</si>
  <si>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</si>
  <si>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</si>
  <si>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</si>
  <si>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</si>
  <si>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</si>
  <si>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</si>
  <si>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</si>
  <si>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</si>
  <si>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</si>
  <si>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</si>
  <si>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</si>
  <si>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</si>
  <si>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</si>
  <si>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</si>
  <si>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</si>
  <si>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</si>
  <si>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</si>
  <si>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</si>
  <si>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</si>
  <si>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</si>
  <si>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</si>
  <si>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</si>
  <si>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</si>
  <si>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</si>
  <si>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</si>
  <si>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</si>
  <si>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</si>
  <si>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</si>
  <si>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</si>
  <si>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</si>
  <si>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</si>
  <si>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</si>
  <si>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</si>
  <si>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</si>
  <si>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</si>
  <si>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</si>
  <si>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</si>
  <si>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</si>
  <si>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</si>
  <si>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</si>
  <si>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</si>
  <si>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</si>
  <si>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</si>
  <si>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</si>
  <si>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</si>
  <si>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</si>
  <si>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</si>
  <si>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</si>
  <si>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</si>
  <si>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</si>
  <si>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</si>
  <si>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</si>
  <si>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</si>
  <si>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</si>
  <si>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</si>
  <si>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</si>
  <si>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</si>
  <si>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</si>
  <si>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</si>
  <si>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</si>
  <si>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</si>
  <si>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</si>
  <si>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</si>
  <si>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</si>
  <si>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</si>
  <si>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</si>
  <si>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</si>
  <si>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</si>
  <si>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</si>
  <si>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</si>
  <si>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</si>
  <si>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</si>
  <si>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</si>
  <si>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</si>
  <si>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</si>
  <si>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</si>
  <si>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</si>
  <si>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</si>
  <si>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</si>
  <si>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</si>
  <si>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</si>
  <si>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</si>
  <si>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</si>
  <si>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</si>
  <si>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</si>
  <si>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</si>
  <si>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</si>
  <si>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</si>
  <si>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</si>
  <si>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</si>
  <si>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</si>
  <si>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</si>
  <si>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</si>
  <si>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</si>
  <si>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</si>
  <si>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</si>
  <si>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</si>
  <si>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</si>
  <si>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</si>
  <si>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</si>
  <si>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</si>
  <si>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</si>
  <si>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</si>
  <si>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</si>
  <si>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</si>
  <si>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</si>
  <si>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</si>
  <si>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</si>
  <si>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</si>
  <si>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</si>
  <si>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</si>
  <si>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</si>
  <si>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</si>
  <si>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</si>
  <si>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</si>
  <si>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</si>
  <si>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</si>
  <si>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</si>
  <si>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</si>
  <si>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</si>
  <si>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</si>
  <si>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</si>
  <si>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</si>
  <si>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</si>
  <si>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</si>
  <si>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</si>
  <si>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</si>
  <si>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</si>
  <si>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</si>
  <si>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</si>
  <si>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</si>
  <si>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</si>
  <si>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</si>
  <si>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</si>
  <si>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</si>
  <si>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</si>
  <si>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</si>
  <si>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</si>
  <si>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</si>
  <si>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</si>
  <si>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</si>
  <si>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</si>
  <si>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</si>
  <si>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</si>
  <si>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</si>
  <si>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</si>
  <si>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</si>
  <si>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</si>
  <si>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</si>
  <si>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</si>
  <si>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</si>
  <si>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</si>
  <si>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</si>
  <si>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</si>
  <si>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</si>
  <si>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</si>
  <si>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</si>
  <si>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</si>
  <si>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</si>
  <si>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</si>
  <si>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</si>
  <si>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</si>
  <si>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</si>
  <si>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</si>
  <si>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</si>
  <si>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</si>
  <si>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</si>
  <si>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</si>
  <si>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</si>
  <si>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</si>
  <si>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</si>
  <si>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</si>
  <si>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</si>
  <si>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</si>
  <si>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</si>
  <si>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</si>
  <si>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</si>
  <si>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</si>
  <si>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</si>
  <si>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</si>
  <si>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</si>
  <si>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</si>
  <si>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</si>
  <si>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</si>
  <si>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</si>
  <si>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</si>
  <si>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</si>
  <si>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</si>
  <si>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</si>
  <si>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</si>
  <si>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</si>
  <si>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</si>
  <si>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</si>
  <si>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</si>
  <si>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</si>
  <si>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</si>
  <si>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</si>
  <si>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</si>
  <si>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</si>
  <si>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</si>
  <si>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</si>
  <si>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</si>
  <si>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</si>
  <si>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</si>
  <si>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</si>
  <si>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</si>
  <si>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</si>
  <si>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</si>
  <si>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</si>
  <si>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</si>
  <si>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</si>
  <si>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</si>
  <si>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</si>
  <si>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</si>
  <si>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</si>
  <si>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</si>
  <si>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</si>
  <si>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</si>
  <si>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</si>
  <si>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</si>
  <si>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</si>
  <si>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</si>
  <si>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</si>
  <si>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</si>
  <si>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</si>
  <si>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</si>
  <si>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</si>
  <si>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</si>
  <si>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</si>
  <si>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</si>
  <si>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</si>
  <si>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</si>
  <si>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</si>
  <si>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</si>
  <si>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</si>
  <si>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</si>
  <si>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</si>
  <si>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</si>
  <si>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</si>
  <si>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</si>
  <si>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</si>
  <si>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</si>
  <si>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</si>
  <si>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</si>
  <si>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</si>
  <si>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</si>
  <si>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</si>
  <si>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</si>
  <si>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</si>
  <si>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</si>
  <si>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</si>
  <si>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</si>
  <si>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</si>
  <si>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</si>
  <si>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</si>
  <si>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</si>
  <si>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</si>
  <si>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</si>
  <si>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</si>
  <si>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</si>
  <si>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</si>
  <si>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</si>
  <si>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</si>
  <si>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</si>
  <si>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</si>
  <si>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</si>
  <si>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</si>
  <si>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</si>
  <si>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</si>
  <si>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</si>
  <si>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</si>
  <si>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</si>
  <si>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</si>
  <si>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</si>
  <si>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</si>
  <si>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</si>
  <si>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</si>
  <si>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</si>
  <si>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</si>
  <si>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</si>
  <si>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</si>
  <si>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</si>
  <si>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</si>
  <si>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</si>
  <si>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</si>
  <si>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</si>
  <si>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</si>
  <si>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</si>
  <si>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</si>
  <si>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</si>
  <si>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</si>
  <si>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</si>
  <si>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</si>
  <si>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</si>
  <si>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</si>
  <si>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</si>
  <si>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</si>
  <si>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</si>
  <si>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</si>
  <si>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</si>
  <si>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</si>
  <si>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</si>
  <si>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</si>
  <si>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</si>
  <si>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</si>
  <si>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</si>
  <si>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</si>
  <si>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</si>
  <si>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</si>
  <si>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</si>
  <si>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</si>
  <si>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</si>
  <si>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</si>
  <si>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</si>
  <si>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</si>
  <si>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</si>
  <si>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</si>
  <si>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</si>
  <si>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</si>
  <si>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</si>
  <si>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</si>
  <si>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</si>
  <si>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</si>
  <si>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</si>
  <si>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</si>
  <si>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</si>
  <si>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</si>
  <si>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</si>
  <si>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</si>
  <si>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</si>
  <si>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</si>
  <si>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</si>
  <si>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</si>
  <si>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</si>
  <si>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</si>
  <si>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</si>
  <si>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</si>
  <si>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</si>
  <si>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</si>
  <si>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</si>
  <si>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</si>
  <si>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</si>
  <si>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</si>
  <si>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</si>
  <si>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</si>
  <si>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</si>
  <si>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</si>
  <si>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</si>
  <si>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</si>
  <si>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</si>
  <si>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</si>
  <si>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</si>
  <si>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</si>
  <si>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</si>
  <si>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</si>
  <si>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</si>
  <si>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</si>
  <si>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</si>
  <si>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</si>
  <si>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</si>
  <si>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</si>
  <si>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</si>
  <si>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</si>
  <si>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</si>
  <si>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</si>
  <si>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</si>
  <si>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</si>
  <si>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</si>
  <si>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</si>
  <si>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</si>
  <si>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</si>
  <si>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</si>
  <si>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</si>
  <si>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</si>
  <si>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</si>
  <si>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</si>
  <si>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</si>
  <si>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</si>
  <si>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</si>
  <si>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</si>
  <si>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</si>
  <si>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</si>
  <si>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</si>
  <si>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</si>
  <si>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</si>
  <si>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</si>
  <si>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</si>
  <si>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</si>
  <si>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</si>
  <si>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</si>
  <si>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</si>
  <si>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</si>
  <si>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</si>
  <si>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</si>
  <si>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</si>
  <si>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</si>
  <si>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</si>
  <si>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</si>
  <si>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</si>
  <si>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</si>
  <si>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</si>
  <si>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</si>
  <si>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</si>
  <si>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</si>
  <si>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</si>
  <si>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</si>
  <si>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</si>
  <si>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</si>
  <si>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</si>
  <si>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</si>
  <si>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</si>
  <si>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</si>
  <si>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</si>
  <si>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</si>
  <si>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</si>
  <si>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</si>
  <si>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</si>
  <si>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</si>
  <si>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</si>
  <si>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</si>
  <si>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</si>
  <si>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</si>
  <si>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</si>
  <si>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</si>
  <si>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</si>
  <si>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</si>
  <si>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</si>
  <si>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</si>
  <si>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</si>
  <si>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</si>
  <si>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</si>
  <si>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</si>
  <si>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</si>
  <si>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</si>
  <si>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</si>
  <si>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</si>
  <si>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</si>
  <si>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</si>
  <si>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</si>
  <si>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</si>
  <si>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</si>
  <si>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</si>
  <si>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</si>
  <si>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</si>
  <si>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</si>
  <si>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</si>
  <si>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</si>
  <si>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</si>
  <si>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</si>
  <si>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</si>
  <si>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</si>
  <si>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</si>
  <si>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</si>
  <si>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</si>
  <si>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</si>
  <si>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</si>
  <si>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</si>
  <si>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</si>
  <si>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</si>
  <si>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</si>
  <si>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</si>
  <si>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</si>
  <si>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</si>
  <si>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</si>
  <si>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</si>
  <si>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</si>
  <si>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</si>
  <si>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</si>
  <si>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</si>
  <si>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</si>
  <si>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</si>
  <si>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</si>
  <si>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</si>
  <si>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</si>
  <si>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</si>
  <si>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</si>
  <si>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</si>
  <si>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</si>
  <si>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</si>
  <si>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</si>
  <si>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</si>
  <si>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</si>
  <si>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</si>
  <si>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</si>
  <si>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</si>
  <si>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</si>
  <si>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</si>
  <si>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</si>
  <si>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</si>
  <si>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</si>
  <si>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</si>
  <si>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</si>
  <si>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</si>
  <si>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</si>
  <si>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</si>
  <si>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</si>
  <si>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</si>
  <si>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</si>
  <si>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</si>
  <si>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</si>
  <si>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</si>
  <si>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</si>
  <si>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</si>
  <si>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</si>
  <si>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</si>
  <si>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</si>
  <si>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</si>
  <si>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</si>
  <si>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</si>
  <si>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</si>
  <si>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</si>
  <si>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</si>
  <si>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</si>
  <si>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</si>
  <si>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</si>
  <si>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</si>
  <si>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</si>
  <si>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</si>
  <si>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</si>
  <si>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</si>
  <si>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</si>
  <si>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</si>
  <si>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</si>
  <si>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</si>
  <si>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</si>
  <si>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</si>
  <si>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</si>
  <si>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</si>
  <si>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</si>
  <si>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</si>
  <si>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</si>
  <si>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</si>
  <si>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</si>
  <si>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</si>
  <si>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</si>
  <si>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</si>
  <si>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</si>
  <si>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</si>
  <si>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</si>
  <si>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</si>
  <si>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</si>
  <si>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</si>
  <si>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</si>
  <si>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</si>
  <si>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</si>
  <si>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</si>
  <si>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</si>
  <si>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</si>
  <si>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</si>
  <si>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</si>
  <si>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</si>
  <si>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</si>
  <si>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</si>
  <si>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</si>
  <si>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</si>
  <si>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</si>
  <si>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</si>
  <si>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</si>
  <si>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</si>
  <si>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</si>
  <si>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</si>
  <si>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</si>
  <si>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</si>
  <si>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</si>
  <si>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</si>
  <si>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</si>
  <si>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</si>
  <si>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</si>
  <si>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</si>
  <si>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</si>
  <si>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</si>
  <si>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</si>
  <si>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</si>
  <si>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</si>
  <si>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</si>
  <si>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</si>
  <si>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</si>
  <si>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</si>
  <si>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</si>
  <si>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</si>
  <si>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</si>
  <si>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</si>
  <si>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</si>
  <si>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</si>
  <si>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</si>
  <si>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</si>
  <si>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</si>
  <si>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</si>
  <si>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</si>
  <si>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</si>
  <si>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</si>
  <si>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</si>
  <si>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</si>
  <si>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</si>
  <si>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</si>
  <si>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</si>
  <si>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</si>
  <si>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</si>
  <si>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</si>
  <si>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</si>
  <si>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</si>
  <si>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</si>
  <si>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</si>
  <si>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</si>
  <si>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</si>
  <si>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</si>
  <si>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</si>
  <si>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</si>
  <si>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</si>
  <si>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</si>
  <si>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</si>
  <si>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</si>
  <si>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</si>
  <si>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</si>
  <si>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</si>
  <si>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</si>
  <si>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</si>
  <si>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</si>
  <si>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</si>
  <si>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</si>
  <si>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</si>
  <si>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</si>
  <si>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</si>
  <si>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</si>
  <si>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</si>
  <si>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</si>
  <si>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</si>
  <si>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</si>
  <si>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</si>
  <si>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</si>
  <si>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</si>
  <si>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</si>
  <si>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</si>
  <si>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</si>
  <si>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</si>
  <si>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</si>
  <si>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</si>
  <si>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</si>
  <si>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</si>
  <si>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</si>
  <si>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</si>
  <si>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</si>
  <si>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</si>
  <si>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</si>
  <si>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</si>
  <si>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</si>
  <si>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</si>
  <si>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</si>
  <si>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</si>
  <si>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</si>
  <si>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</si>
  <si>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</si>
  <si>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</si>
  <si>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</si>
  <si>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</si>
  <si>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</si>
  <si>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</si>
  <si>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</si>
  <si>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</si>
  <si>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</si>
  <si>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</si>
  <si>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</si>
  <si>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</si>
  <si>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</si>
  <si>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</si>
  <si>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</si>
  <si>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</si>
  <si>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</si>
  <si>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</si>
  <si>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</si>
  <si>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</si>
  <si>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</si>
  <si>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</si>
  <si>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</si>
  <si>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</si>
  <si>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</si>
  <si>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</si>
  <si>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</si>
  <si>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</si>
  <si>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</si>
  <si>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</si>
  <si>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</si>
  <si>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</si>
  <si>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</si>
  <si>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</si>
  <si>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</si>
  <si>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</si>
  <si>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</si>
  <si>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</si>
  <si>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</si>
  <si>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</si>
  <si>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</si>
  <si>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</si>
  <si>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</si>
  <si>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</si>
  <si>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</si>
  <si>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</si>
  <si>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</si>
  <si>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</si>
  <si>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</si>
  <si>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</si>
  <si>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</si>
  <si>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</si>
  <si>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</si>
  <si>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</si>
  <si>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</si>
  <si>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</si>
  <si>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</si>
  <si>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</si>
  <si>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</si>
  <si>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</si>
  <si>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</si>
  <si>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</si>
  <si>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</si>
  <si>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</si>
  <si>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</si>
  <si>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</si>
  <si>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</si>
  <si>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</si>
  <si>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</si>
  <si>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</si>
  <si>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</si>
  <si>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</si>
  <si>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</si>
  <si>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</si>
  <si>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</si>
  <si>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</si>
  <si>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</si>
  <si>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</si>
  <si>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</si>
  <si>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</si>
  <si>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</si>
  <si>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</si>
  <si>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</si>
  <si>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</si>
  <si>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</si>
  <si>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</si>
  <si>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</si>
  <si>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</si>
  <si>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</si>
  <si>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</si>
  <si>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</si>
  <si>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</si>
  <si>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</si>
  <si>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</si>
  <si>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</si>
  <si>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</si>
  <si>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</si>
  <si>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</si>
  <si>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</si>
  <si>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</si>
  <si>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</si>
  <si>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</si>
  <si>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</si>
  <si>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</si>
  <si>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</si>
  <si>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</si>
  <si>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</si>
  <si>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</si>
  <si>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</si>
  <si>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</si>
  <si>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</si>
  <si>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</si>
  <si>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</si>
  <si>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</si>
  <si>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</si>
  <si>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</si>
  <si>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</si>
  <si>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</si>
  <si>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</si>
  <si>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</si>
  <si>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</si>
  <si>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</si>
  <si>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</si>
  <si>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</si>
  <si>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</si>
  <si>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</si>
  <si>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</si>
  <si>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</si>
  <si>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</si>
  <si>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</si>
  <si>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</si>
  <si>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</si>
  <si>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</si>
  <si>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</si>
  <si>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</si>
  <si>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</si>
  <si>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</si>
  <si>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</si>
  <si>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</si>
  <si>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</si>
  <si>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</si>
  <si>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</si>
  <si>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</si>
  <si>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</si>
  <si>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</si>
  <si>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</si>
  <si>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</si>
  <si>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</si>
  <si>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</si>
  <si>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</si>
  <si>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</si>
  <si>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</si>
  <si>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</si>
  <si>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</si>
  <si>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</si>
  <si>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</si>
  <si>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</si>
  <si>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</si>
  <si>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</si>
  <si>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</si>
  <si>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</si>
  <si>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</si>
  <si>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</si>
  <si>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</si>
  <si>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</si>
  <si>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</si>
  <si>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</si>
  <si>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</si>
  <si>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</si>
  <si>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</si>
  <si>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</si>
  <si>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</si>
  <si>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</si>
  <si>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</si>
  <si>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</si>
  <si>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</si>
  <si>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</si>
  <si>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</si>
  <si>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</si>
  <si>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</si>
  <si>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</si>
  <si>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</si>
  <si>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</si>
  <si>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</si>
  <si>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</si>
  <si>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</si>
  <si>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</si>
  <si>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</si>
  <si>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</si>
  <si>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</si>
  <si>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</si>
  <si>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</si>
  <si>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</si>
  <si>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</si>
  <si>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</si>
  <si>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</si>
  <si>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</si>
  <si>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</si>
  <si>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</si>
  <si>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</si>
  <si>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</si>
  <si>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</si>
  <si>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</si>
  <si>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</si>
  <si>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</si>
  <si>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</si>
  <si>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</si>
  <si>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</si>
  <si>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</si>
  <si>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</si>
  <si>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</si>
  <si>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</si>
  <si>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</si>
  <si>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</si>
  <si>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</si>
  <si>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</si>
  <si>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</si>
  <si>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</si>
  <si>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</si>
  <si>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</si>
  <si>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</si>
  <si>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</si>
  <si>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</si>
  <si>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</si>
  <si>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</si>
  <si>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</si>
  <si>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</si>
  <si>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</si>
  <si>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</si>
  <si>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</si>
  <si>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</si>
  <si>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</si>
  <si>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</si>
  <si>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</si>
  <si>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</si>
  <si>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</si>
  <si>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</si>
  <si>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</si>
  <si>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</si>
  <si>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</si>
  <si>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</si>
  <si>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</si>
  <si>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</si>
  <si>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</si>
  <si>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</si>
  <si>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</si>
  <si>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</si>
  <si>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</si>
  <si>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</si>
  <si>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</si>
  <si>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</si>
  <si>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</si>
  <si>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</si>
  <si>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</si>
  <si>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</si>
  <si>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</si>
  <si>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</si>
  <si>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</si>
  <si>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</si>
  <si>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</si>
  <si>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</si>
  <si>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</si>
  <si>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</si>
  <si>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</si>
  <si>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</si>
  <si>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</si>
  <si>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</si>
  <si>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</si>
  <si>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</si>
  <si>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</si>
  <si>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</si>
  <si>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</si>
  <si>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</si>
  <si>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</si>
  <si>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</si>
  <si>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</si>
  <si>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</si>
  <si>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</si>
  <si>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</si>
  <si>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</si>
  <si>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</si>
  <si>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</si>
  <si>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</si>
  <si>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</si>
  <si>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</si>
  <si>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</si>
  <si>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</si>
  <si>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</si>
  <si>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</si>
  <si>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</si>
  <si>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</si>
  <si>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</si>
  <si>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</si>
  <si>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</si>
  <si>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</si>
  <si>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</si>
  <si>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</si>
  <si>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</si>
  <si>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</si>
  <si>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</si>
  <si>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</si>
  <si>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</si>
  <si>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</si>
  <si>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</si>
  <si>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</si>
  <si>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</si>
  <si>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</si>
  <si>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</si>
  <si>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</si>
  <si>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</si>
  <si>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</si>
  <si>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</si>
  <si>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</si>
  <si>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</si>
  <si>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</si>
  <si>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</si>
  <si>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</si>
  <si>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</si>
  <si>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</si>
  <si>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</si>
  <si>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</si>
  <si>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</si>
  <si>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</si>
  <si>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</si>
  <si>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</si>
  <si>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</si>
  <si>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</si>
  <si>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</si>
  <si>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</si>
  <si>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</si>
  <si>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</si>
  <si>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</si>
  <si>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</si>
  <si>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</si>
  <si>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</si>
  <si>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</si>
  <si>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</si>
  <si>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</si>
  <si>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</si>
  <si>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</si>
  <si>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</si>
  <si>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</si>
  <si>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</si>
  <si>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</si>
  <si>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</si>
  <si>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</si>
  <si>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</si>
  <si>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</si>
  <si>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</si>
  <si>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</si>
  <si>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</si>
  <si>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</si>
  <si>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</si>
  <si>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</si>
  <si>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</si>
  <si>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</si>
  <si>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</si>
  <si>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</si>
  <si>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</si>
  <si>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</si>
  <si>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</si>
  <si>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</si>
  <si>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</si>
  <si>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</si>
  <si>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</si>
  <si>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</si>
  <si>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</si>
  <si>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</si>
  <si>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</si>
  <si>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</si>
  <si>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</si>
  <si>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</si>
  <si>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</si>
  <si>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</si>
  <si>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</si>
  <si>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</si>
  <si>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</si>
  <si>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</si>
  <si>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</si>
  <si>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</si>
  <si>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</si>
  <si>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</si>
  <si>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</si>
  <si>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</si>
  <si>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</si>
  <si>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</si>
  <si>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</si>
  <si>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</si>
  <si>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</si>
  <si>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</si>
  <si>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</si>
  <si>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</si>
  <si>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</si>
  <si>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</si>
  <si>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</si>
  <si>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</si>
  <si>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</si>
  <si>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</si>
  <si>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</si>
  <si>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</si>
  <si>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</si>
  <si>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</si>
  <si>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</si>
  <si>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</si>
  <si>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</si>
  <si>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</si>
  <si>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</si>
  <si>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</si>
  <si>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</si>
  <si>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</si>
  <si>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</si>
  <si>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</si>
  <si>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</si>
  <si>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</si>
  <si>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</si>
  <si>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</si>
  <si>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</si>
  <si>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</si>
  <si>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</si>
  <si>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</si>
  <si>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</si>
  <si>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</si>
  <si>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</si>
  <si>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</si>
  <si>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</si>
  <si>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</si>
  <si>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</si>
  <si>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</si>
  <si>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</si>
  <si>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</si>
  <si>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</si>
  <si>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</si>
  <si>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</si>
  <si>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</si>
  <si>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</si>
  <si>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</si>
  <si>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</si>
  <si>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</si>
  <si>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</si>
  <si>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</si>
  <si>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</si>
  <si>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</si>
  <si>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</si>
  <si>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</si>
  <si>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</si>
  <si>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</si>
  <si>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</si>
  <si>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</si>
  <si>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</si>
  <si>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</si>
  <si>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</si>
  <si>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</si>
  <si>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</si>
  <si>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</si>
  <si>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</si>
  <si>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</si>
  <si>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</si>
  <si>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</si>
  <si>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</si>
  <si>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</si>
  <si>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</si>
  <si>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</si>
  <si>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</si>
  <si>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</si>
  <si>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</si>
  <si>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</si>
  <si>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</si>
  <si>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</si>
  <si>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</si>
  <si>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</si>
  <si>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</si>
  <si>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</si>
  <si>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</si>
  <si>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</si>
  <si>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</si>
  <si>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</si>
  <si>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</si>
  <si>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</si>
  <si>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</si>
  <si>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</si>
  <si>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</si>
  <si>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</si>
  <si>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</si>
  <si>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</si>
  <si>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</si>
  <si>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</si>
  <si>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</si>
  <si>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</si>
  <si>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</si>
  <si>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</si>
  <si>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</si>
  <si>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</si>
  <si>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</si>
  <si>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</si>
  <si>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</si>
  <si>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</si>
  <si>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</si>
  <si>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</si>
  <si>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</si>
  <si>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</si>
  <si>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</si>
  <si>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</si>
  <si>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</si>
  <si>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</si>
  <si>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</si>
  <si>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</si>
  <si>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</si>
  <si>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</si>
  <si>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</si>
  <si>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</si>
  <si>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</si>
  <si>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</si>
  <si>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</si>
  <si>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</si>
  <si>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</si>
  <si>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</si>
  <si>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</si>
  <si>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</si>
  <si>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</si>
  <si>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</si>
  <si>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</si>
  <si>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</si>
  <si>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</si>
  <si>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</si>
  <si>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</si>
  <si>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</si>
  <si>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</si>
  <si>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</si>
  <si>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</si>
  <si>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</si>
  <si>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</si>
  <si>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</si>
  <si>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</si>
  <si>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</si>
  <si>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</si>
  <si>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</si>
  <si>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</si>
  <si>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</si>
  <si>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</si>
  <si>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</si>
  <si>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</si>
  <si>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</si>
  <si>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</si>
  <si>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</si>
  <si>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</si>
  <si>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</si>
  <si>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</si>
  <si>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</si>
  <si>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</si>
  <si>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</si>
  <si>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</si>
  <si>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</si>
  <si>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</si>
  <si>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</si>
  <si>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</si>
  <si>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</si>
  <si>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</si>
  <si>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</si>
  <si>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</si>
  <si>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</si>
  <si>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</si>
  <si>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</si>
  <si>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</si>
  <si>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</si>
  <si>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</si>
  <si>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</si>
  <si>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</si>
  <si>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</si>
  <si>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</si>
  <si>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</si>
  <si>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</si>
  <si>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</si>
  <si>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</si>
  <si>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</si>
  <si>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</si>
  <si>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</si>
  <si>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</si>
  <si>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</si>
  <si>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</si>
  <si>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</si>
  <si>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</si>
  <si>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</si>
  <si>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</si>
  <si>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</si>
  <si>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</si>
  <si>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</si>
  <si>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</si>
  <si>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</si>
  <si>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</si>
  <si>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</si>
  <si>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</si>
  <si>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</si>
  <si>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</si>
  <si>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</si>
  <si>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</si>
  <si>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</si>
  <si>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</si>
  <si>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</si>
  <si>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</si>
  <si>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</si>
  <si>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</si>
  <si>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</si>
  <si>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</si>
  <si>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</si>
  <si>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</si>
  <si>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</si>
  <si>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</si>
  <si>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</si>
  <si>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</si>
  <si>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</si>
  <si>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</si>
  <si>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</si>
  <si>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</si>
  <si>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</si>
  <si>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</si>
  <si>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</si>
  <si>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</si>
  <si>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</si>
  <si>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</si>
  <si>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</si>
  <si>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</si>
  <si>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</si>
  <si>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</si>
  <si>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</si>
  <si>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</si>
  <si>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</si>
  <si>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</si>
  <si>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</si>
  <si>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</si>
  <si>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</si>
  <si>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</si>
  <si>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</si>
  <si>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</si>
  <si>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</si>
  <si>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</si>
  <si>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</si>
  <si>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</si>
  <si>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</si>
  <si>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</si>
  <si>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</si>
  <si>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</si>
  <si>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</si>
  <si>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</si>
  <si>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</si>
  <si>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</si>
  <si>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</si>
  <si>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</si>
  <si>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</si>
  <si>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</si>
  <si>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</si>
  <si>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</si>
  <si>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</si>
  <si>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</si>
  <si>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</si>
  <si>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</si>
  <si>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</si>
  <si>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</si>
  <si>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</si>
  <si>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</si>
  <si>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</si>
  <si>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</si>
  <si>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</si>
  <si>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</si>
  <si>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</si>
  <si>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</si>
  <si>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</si>
  <si>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</si>
  <si>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</si>
  <si>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</si>
  <si>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</si>
  <si>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</si>
  <si>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</si>
  <si>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</si>
  <si>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</si>
  <si>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</si>
  <si>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</si>
  <si>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</si>
  <si>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</si>
  <si>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</si>
  <si>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</si>
  <si>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</si>
  <si>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</si>
  <si>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</si>
  <si>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</si>
  <si>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</si>
  <si>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</si>
  <si>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</si>
  <si>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</si>
  <si>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</si>
  <si>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</si>
  <si>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</si>
  <si>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</si>
  <si>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</si>
  <si>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</si>
  <si>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</si>
  <si>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</si>
  <si>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</si>
  <si>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</si>
  <si>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</si>
  <si>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</si>
  <si>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</si>
  <si>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</si>
  <si>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</si>
  <si>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</si>
  <si>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</si>
  <si>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</si>
  <si>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</si>
  <si>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</si>
  <si>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</si>
  <si>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</si>
  <si>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</si>
  <si>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</si>
  <si>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</si>
  <si>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</si>
  <si>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</si>
  <si>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</si>
  <si>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</si>
  <si>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</si>
  <si>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</si>
  <si>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</si>
  <si>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</si>
  <si>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</si>
  <si>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</si>
  <si>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</si>
  <si>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</si>
  <si>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</si>
  <si>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</si>
  <si>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</si>
  <si>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</si>
  <si>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</si>
  <si>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</si>
  <si>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</si>
  <si>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</si>
  <si>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</si>
  <si>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</si>
  <si>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</si>
  <si>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</si>
  <si>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</si>
  <si>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</si>
  <si>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</si>
  <si>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</si>
  <si>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</si>
  <si>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</si>
  <si>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</si>
  <si>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</si>
  <si>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</si>
  <si>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</si>
  <si>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</si>
  <si>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</si>
  <si>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</si>
  <si>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</si>
  <si>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</si>
  <si>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</si>
  <si>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</si>
  <si>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</si>
  <si>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</si>
  <si>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</si>
  <si>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</si>
  <si>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</si>
  <si>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</si>
  <si>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</si>
  <si>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</si>
  <si>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</si>
  <si>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</si>
  <si>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</si>
  <si>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</si>
  <si>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</si>
  <si>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</si>
  <si>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</si>
  <si>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</si>
  <si>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</si>
  <si>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</si>
  <si>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</si>
  <si>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</si>
  <si>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</si>
  <si>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</si>
  <si>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</si>
  <si>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</si>
  <si>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</si>
  <si>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</si>
  <si>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</si>
  <si>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</si>
  <si>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</si>
  <si>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</si>
  <si>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</si>
  <si>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</si>
  <si>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</si>
  <si>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</si>
  <si>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</si>
  <si>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</si>
  <si>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</si>
  <si>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</si>
  <si>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</si>
  <si>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</si>
  <si>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</si>
  <si>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</si>
  <si>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</si>
  <si>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</si>
  <si>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</si>
  <si>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</si>
  <si>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</si>
  <si>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</si>
  <si>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</si>
  <si>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</si>
  <si>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</si>
  <si>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</si>
  <si>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</si>
  <si>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</si>
  <si>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</si>
  <si>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</si>
  <si>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</si>
  <si>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</si>
  <si>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</si>
  <si>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</si>
  <si>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</si>
  <si>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</si>
  <si>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</si>
  <si>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</si>
  <si>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</si>
  <si>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</si>
  <si>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</si>
  <si>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</si>
  <si>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</si>
  <si>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</si>
  <si>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</si>
  <si>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</si>
  <si>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</si>
  <si>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</si>
  <si>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</si>
  <si>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</si>
  <si>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</si>
  <si>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</si>
  <si>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</si>
  <si>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</si>
  <si>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</si>
  <si>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</si>
  <si>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</si>
  <si>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</si>
  <si>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</si>
  <si>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</si>
  <si>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</si>
  <si>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</si>
  <si>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</si>
  <si>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</si>
  <si>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</si>
  <si>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</si>
  <si>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</si>
  <si>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</si>
  <si>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</si>
  <si>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</si>
  <si>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</si>
  <si>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</si>
  <si>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</si>
  <si>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</si>
  <si>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</si>
  <si>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</si>
  <si>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</si>
  <si>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</si>
  <si>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</si>
  <si>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</si>
  <si>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</si>
  <si>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</si>
  <si>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</si>
  <si>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</si>
  <si>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</si>
  <si>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</si>
  <si>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</si>
  <si>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</si>
  <si>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</si>
  <si>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</si>
  <si>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</si>
  <si>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</si>
  <si>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</si>
  <si>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</si>
  <si>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</si>
  <si>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</si>
  <si>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</si>
  <si>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</si>
  <si>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</si>
  <si>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</si>
  <si>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</si>
  <si>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</si>
  <si>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</si>
  <si>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</si>
  <si>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</si>
  <si>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</si>
  <si>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</si>
  <si>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</si>
  <si>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</si>
  <si>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</si>
  <si>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</si>
  <si>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</si>
  <si>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</si>
  <si>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</si>
  <si>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</si>
  <si>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</si>
  <si>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</si>
  <si>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</si>
  <si>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</si>
  <si>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</si>
  <si>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</si>
  <si>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</si>
  <si>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</si>
  <si>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</si>
  <si>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</si>
  <si>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</si>
  <si>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</si>
  <si>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</si>
  <si>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</si>
  <si>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</si>
  <si>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</si>
  <si>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</si>
  <si>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</si>
  <si>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</si>
  <si>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</si>
  <si>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</si>
  <si>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</si>
  <si>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</si>
  <si>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</si>
  <si>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</si>
  <si>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</si>
  <si>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</si>
  <si>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</si>
  <si>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</si>
  <si>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</si>
  <si>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</si>
  <si>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</si>
  <si>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</si>
  <si>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</si>
  <si>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</si>
  <si>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</si>
  <si>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</si>
  <si>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</si>
  <si>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</si>
  <si>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</si>
  <si>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</si>
  <si>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</si>
  <si>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</si>
  <si>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</si>
  <si>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</si>
  <si>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</si>
  <si>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</si>
  <si>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</si>
  <si>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</si>
  <si>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</si>
  <si>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</si>
  <si>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</si>
  <si>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</si>
  <si>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</si>
  <si>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</si>
  <si>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</si>
  <si>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</si>
  <si>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</si>
  <si>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</si>
  <si>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</si>
  <si>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</si>
  <si>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</si>
  <si>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</si>
  <si>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</si>
  <si>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</si>
  <si>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</si>
  <si>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</si>
  <si>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</si>
  <si>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</si>
  <si>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</si>
  <si>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</si>
  <si>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</si>
  <si>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</si>
  <si>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</si>
  <si>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</si>
  <si>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</si>
  <si>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</si>
  <si>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</si>
  <si>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</si>
  <si>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</si>
  <si>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</si>
  <si>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</si>
  <si>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</si>
  <si>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</si>
  <si>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</si>
  <si>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</si>
  <si>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</si>
  <si>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</si>
  <si>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</si>
  <si>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</si>
  <si>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</si>
  <si>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</si>
  <si>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</si>
  <si>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</si>
  <si>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</si>
  <si>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</si>
  <si>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</si>
  <si>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</si>
  <si>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</si>
  <si>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</si>
  <si>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</si>
  <si>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</si>
  <si>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</si>
  <si>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</si>
  <si>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</si>
  <si>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</si>
  <si>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</si>
  <si>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</si>
  <si>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</si>
  <si>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</si>
  <si>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</si>
  <si>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</si>
  <si>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</si>
  <si>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</si>
  <si>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</si>
  <si>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</si>
  <si>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</si>
  <si>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</si>
  <si>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</si>
  <si>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</si>
  <si>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</si>
  <si>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</si>
  <si>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</si>
  <si>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</si>
  <si>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</si>
  <si>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</si>
  <si>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</si>
  <si>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</si>
  <si>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</si>
  <si>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</si>
  <si>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</si>
  <si>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</si>
  <si>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</si>
  <si>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</si>
  <si>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</si>
  <si>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</si>
  <si>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</si>
  <si>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</si>
  <si>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</si>
  <si>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</si>
  <si>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</si>
  <si>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</si>
  <si>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</si>
  <si>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</si>
  <si>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</si>
  <si>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</si>
  <si>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</si>
  <si>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</si>
  <si>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</si>
  <si>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</si>
  <si>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</si>
  <si>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</si>
  <si>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</si>
  <si>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</si>
  <si>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</si>
  <si>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</si>
  <si>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</si>
  <si>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</si>
  <si>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</si>
  <si>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</si>
  <si>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</si>
  <si>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</si>
  <si>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</si>
  <si>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</si>
  <si>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</si>
  <si>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</si>
  <si>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</si>
  <si>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</si>
  <si>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</si>
  <si>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</si>
  <si>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</si>
  <si>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</si>
  <si>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</si>
  <si>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</si>
  <si>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</si>
  <si>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</si>
  <si>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</si>
  <si>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</si>
  <si>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</si>
  <si>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</si>
  <si>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</si>
  <si>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</si>
  <si>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</si>
  <si>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</si>
  <si>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</si>
  <si>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</si>
  <si>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</si>
  <si>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</si>
  <si>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</si>
  <si>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</si>
  <si>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</si>
  <si>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</si>
  <si>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</si>
  <si>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</si>
  <si>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</si>
  <si>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</si>
  <si>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</si>
  <si>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</si>
  <si>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</si>
  <si>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</si>
  <si>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</si>
  <si>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</si>
  <si>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</si>
  <si>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</si>
  <si>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</si>
  <si>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</si>
  <si>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</si>
  <si>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</si>
  <si>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</si>
  <si>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</si>
  <si>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</si>
  <si>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</si>
  <si>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</si>
  <si>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</si>
  <si>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</si>
  <si>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</si>
  <si>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</si>
  <si>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</si>
  <si>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</si>
  <si>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</si>
  <si>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</si>
  <si>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</si>
  <si>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</si>
  <si>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</si>
  <si>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</si>
  <si>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</si>
  <si>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</si>
  <si>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</si>
  <si>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</si>
  <si>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</si>
  <si>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</si>
  <si>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</si>
  <si>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</si>
  <si>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</si>
  <si>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</si>
  <si>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</si>
  <si>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</si>
  <si>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</si>
  <si>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</si>
  <si>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</si>
  <si>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</si>
  <si>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</si>
  <si>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</si>
  <si>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</si>
  <si>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</si>
  <si>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</si>
  <si>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</si>
  <si>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</si>
  <si>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</si>
  <si>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</si>
  <si>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</si>
  <si>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</si>
  <si>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</si>
  <si>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</si>
  <si>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</si>
  <si>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</si>
  <si>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</si>
  <si>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</si>
  <si>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</si>
  <si>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</si>
  <si>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</si>
  <si>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</si>
  <si>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</si>
  <si>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</si>
  <si>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</si>
  <si>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</si>
  <si>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</si>
  <si>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</si>
  <si>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</si>
  <si>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</si>
  <si>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</si>
  <si>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</si>
  <si>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</si>
  <si>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</si>
  <si>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</si>
  <si>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</si>
  <si>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</si>
  <si>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</si>
  <si>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</si>
  <si>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</si>
  <si>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</si>
  <si>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</si>
  <si>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</si>
  <si>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</si>
  <si>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</si>
  <si>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</si>
  <si>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</si>
  <si>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</si>
  <si>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</si>
  <si>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</si>
  <si>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</si>
  <si>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</si>
  <si>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</si>
  <si>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</si>
  <si>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</si>
  <si>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</si>
  <si>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</si>
  <si>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</si>
  <si>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</si>
  <si>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</si>
  <si>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</si>
  <si>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</si>
  <si>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</si>
  <si>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</si>
  <si>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</si>
  <si>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</si>
  <si>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</si>
  <si>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</si>
  <si>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</si>
  <si>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</si>
  <si>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</si>
  <si>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</si>
  <si>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</si>
  <si>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</si>
  <si>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</si>
  <si>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</si>
  <si>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</si>
  <si>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</si>
  <si>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</si>
  <si>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</si>
  <si>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</si>
  <si>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</si>
  <si>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</si>
  <si>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</si>
  <si>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</si>
  <si>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</si>
  <si>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</si>
  <si>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</si>
  <si>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</si>
  <si>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</si>
  <si>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</si>
  <si>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</si>
  <si>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</si>
  <si>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</si>
  <si>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</si>
  <si>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</si>
  <si>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</si>
  <si>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</si>
  <si>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</si>
  <si>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</si>
  <si>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</si>
  <si>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</si>
  <si>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</si>
  <si>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</si>
  <si>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</si>
  <si>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</si>
  <si>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</si>
  <si>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</si>
  <si>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</si>
  <si>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</si>
  <si>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</si>
  <si>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</si>
  <si>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</si>
  <si>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</si>
  <si>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</si>
  <si>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</si>
  <si>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</si>
  <si>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</si>
  <si>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</si>
  <si>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</si>
  <si>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</si>
  <si>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</si>
  <si>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</si>
  <si>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</si>
  <si>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</si>
  <si>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</si>
  <si>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</si>
  <si>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</si>
  <si>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</si>
  <si>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</si>
  <si>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</si>
  <si>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</si>
  <si>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</si>
  <si>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</si>
  <si>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</si>
  <si>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</si>
  <si>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</si>
  <si>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</si>
  <si>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</si>
  <si>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</si>
  <si>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</si>
  <si>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</si>
  <si>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</si>
  <si>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</si>
  <si>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</si>
  <si>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</si>
  <si>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</si>
  <si>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</si>
  <si>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</si>
  <si>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</si>
  <si>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</si>
  <si>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</si>
  <si>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</si>
  <si>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</si>
  <si>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</si>
  <si>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</si>
  <si>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</si>
  <si>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</si>
  <si>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</si>
  <si>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</si>
  <si>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</si>
  <si>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</si>
  <si>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</si>
  <si>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</si>
  <si>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</si>
  <si>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</si>
  <si>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</si>
  <si>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</si>
  <si>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</si>
  <si>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</si>
  <si>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</si>
  <si>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</si>
  <si>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</si>
  <si>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</si>
  <si>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</si>
  <si>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</si>
  <si>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</si>
  <si>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</si>
  <si>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</si>
  <si>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</si>
  <si>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</si>
  <si>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</si>
  <si>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</si>
  <si>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</si>
  <si>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</si>
  <si>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</si>
  <si>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</si>
  <si>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</si>
  <si>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</si>
  <si>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</si>
  <si>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</si>
  <si>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</si>
  <si>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</si>
  <si>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</si>
  <si>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</si>
  <si>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</si>
  <si>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</si>
  <si>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</si>
  <si>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</si>
  <si>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</si>
  <si>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</si>
  <si>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</si>
  <si>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</si>
  <si>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</si>
  <si>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</si>
  <si>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</si>
  <si>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</si>
  <si>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</si>
  <si>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</si>
  <si>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</si>
  <si>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</si>
  <si>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</si>
  <si>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</si>
  <si>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</si>
  <si>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</si>
  <si>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</si>
  <si>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</si>
  <si>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</si>
  <si>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</si>
  <si>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</si>
  <si>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</si>
  <si>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</si>
  <si>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</si>
  <si>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</si>
  <si>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</si>
  <si>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</si>
  <si>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</si>
  <si>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</si>
  <si>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</si>
  <si>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</si>
  <si>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</si>
  <si>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</si>
  <si>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</si>
  <si>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</si>
  <si>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</si>
  <si>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</si>
  <si>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</si>
  <si>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</si>
  <si>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</si>
  <si>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</si>
  <si>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</si>
  <si>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</si>
  <si>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</si>
  <si>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</si>
  <si>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</si>
  <si>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</si>
  <si>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</si>
  <si>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</si>
  <si>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</si>
  <si>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</si>
  <si>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</si>
  <si>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</si>
  <si>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</si>
  <si>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</si>
  <si>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</si>
  <si>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</si>
  <si>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</si>
  <si>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</si>
  <si>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</si>
  <si>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</si>
  <si>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</si>
  <si>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</si>
  <si>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</si>
  <si>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</si>
  <si>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</si>
  <si>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</si>
  <si>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</si>
  <si>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</si>
  <si>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</si>
  <si>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</si>
  <si>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</si>
  <si>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</si>
  <si>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</si>
  <si>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</si>
  <si>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</si>
  <si>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</si>
  <si>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</si>
  <si>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</si>
  <si>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</si>
  <si>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</si>
  <si>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</si>
  <si>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</si>
  <si>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</si>
  <si>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</si>
  <si>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</si>
  <si>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</si>
  <si>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</si>
  <si>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</si>
  <si>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</si>
  <si>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</si>
  <si>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</si>
  <si>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</si>
  <si>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</si>
  <si>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</si>
  <si>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</si>
  <si>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</si>
  <si>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</si>
  <si>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</si>
  <si>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</si>
  <si>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</si>
  <si>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</si>
  <si>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</si>
  <si>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</si>
  <si>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</si>
  <si>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</si>
  <si>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</si>
  <si>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</si>
  <si>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</si>
  <si>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</si>
  <si>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</si>
  <si>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</si>
  <si>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</si>
  <si>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</si>
  <si>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</si>
  <si>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</si>
  <si>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</si>
  <si>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</si>
  <si>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</si>
  <si>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</si>
  <si>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</si>
  <si>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</si>
  <si>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</si>
  <si>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</si>
  <si>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</si>
  <si>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</si>
  <si>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</si>
  <si>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</si>
  <si>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</si>
  <si>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</si>
  <si>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</si>
  <si>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</si>
  <si>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</si>
  <si>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</si>
  <si>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</si>
  <si>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</si>
  <si>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</si>
  <si>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</si>
  <si>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</si>
  <si>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</si>
  <si>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</si>
  <si>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</si>
  <si>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</si>
  <si>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</si>
  <si>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</si>
  <si>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</si>
  <si>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</si>
  <si>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</si>
  <si>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</si>
  <si>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</si>
  <si>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</si>
  <si>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</si>
  <si>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</si>
  <si>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</si>
  <si>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</si>
  <si>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</si>
  <si>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</si>
  <si>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</si>
  <si>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</si>
  <si>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</si>
  <si>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</si>
  <si>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</si>
  <si>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</si>
  <si>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</si>
  <si>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</si>
  <si>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</si>
  <si>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</si>
  <si>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</si>
  <si>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</si>
  <si>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</si>
  <si>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</si>
  <si>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</si>
  <si>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</si>
  <si>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</si>
  <si>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</si>
  <si>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</si>
  <si>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</si>
  <si>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</si>
  <si>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</si>
  <si>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</si>
  <si>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</si>
  <si>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</si>
  <si>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</si>
  <si>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</si>
  <si>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</si>
  <si>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</si>
  <si>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</si>
  <si>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</si>
  <si>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</si>
  <si>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</si>
  <si>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</si>
  <si>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</si>
  <si>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</si>
  <si>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</si>
  <si>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</si>
  <si>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</si>
  <si>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</si>
  <si>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</si>
  <si>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</si>
  <si>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</si>
  <si>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</si>
  <si>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</si>
  <si>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</si>
  <si>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</si>
  <si>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</si>
  <si>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</si>
  <si>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</si>
  <si>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</si>
  <si>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</si>
  <si>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</si>
  <si>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</si>
  <si>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</si>
  <si>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</si>
  <si>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</si>
  <si>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</si>
  <si>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</si>
  <si>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</si>
  <si>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</si>
  <si>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</si>
  <si>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</si>
  <si>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</si>
  <si>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</si>
  <si>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</si>
  <si>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</si>
  <si>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</si>
  <si>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</si>
  <si>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</si>
  <si>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</si>
  <si>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</si>
  <si>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</si>
  <si>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</si>
  <si>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</si>
  <si>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</si>
  <si>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</si>
  <si>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</si>
  <si>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</si>
  <si>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</si>
  <si>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</si>
  <si>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</si>
  <si>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</si>
  <si>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</si>
  <si>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</si>
  <si>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</si>
  <si>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</si>
  <si>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</si>
  <si>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</si>
  <si>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</si>
  <si>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</si>
  <si>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</si>
  <si>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</si>
  <si>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</si>
  <si>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</si>
  <si>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</si>
  <si>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</si>
  <si>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</si>
  <si>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</si>
  <si>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</si>
  <si>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</si>
  <si>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</si>
  <si>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</si>
  <si>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</si>
  <si>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</si>
  <si>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</si>
  <si>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</si>
  <si>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</si>
  <si>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</si>
  <si>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</si>
  <si>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</si>
  <si>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</si>
  <si>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</si>
  <si>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</si>
  <si>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</si>
  <si>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</si>
  <si>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</si>
  <si>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</si>
  <si>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</si>
  <si>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</si>
  <si>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</si>
  <si>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</si>
  <si>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</si>
  <si>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</si>
  <si>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</si>
  <si>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</si>
  <si>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</si>
  <si>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</si>
  <si>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</si>
  <si>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</si>
  <si>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</si>
  <si>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</si>
  <si>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</si>
  <si>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</si>
  <si>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</si>
  <si>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</si>
  <si>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</si>
  <si>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</si>
  <si>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</si>
  <si>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</si>
  <si>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</si>
  <si>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</si>
  <si>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</si>
  <si>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</si>
  <si>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</si>
  <si>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</si>
  <si>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</si>
  <si>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</si>
  <si>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</si>
  <si>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</si>
  <si>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</si>
  <si>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</si>
  <si>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</si>
  <si>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</si>
  <si>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</si>
  <si>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</si>
  <si>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</si>
  <si>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</si>
  <si>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</si>
  <si>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</si>
  <si>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</si>
  <si>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</si>
  <si>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</si>
  <si>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</si>
  <si>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</si>
  <si>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</si>
  <si>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</si>
  <si>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</si>
  <si>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</si>
  <si>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</si>
  <si>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</si>
  <si>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</si>
  <si>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</si>
  <si>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</si>
  <si>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</si>
  <si>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</si>
  <si>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</si>
  <si>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</si>
  <si>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</si>
  <si>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</si>
  <si>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</si>
  <si>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</si>
  <si>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</si>
  <si>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</si>
  <si>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</si>
  <si>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</si>
  <si>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</si>
  <si>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</si>
  <si>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</si>
  <si>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</si>
  <si>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</si>
  <si>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</si>
  <si>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</si>
  <si>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</si>
  <si>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</si>
  <si>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</si>
  <si>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</si>
  <si>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</si>
  <si>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</si>
  <si>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</si>
  <si>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</si>
  <si>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</si>
  <si>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</si>
  <si>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</si>
  <si>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</si>
  <si>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</si>
  <si>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</si>
  <si>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</si>
  <si>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</si>
  <si>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</si>
  <si>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</si>
  <si>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</si>
  <si>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</si>
  <si>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</si>
  <si>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</si>
  <si>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</si>
  <si>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</si>
  <si>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</si>
  <si>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</si>
  <si>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</si>
  <si>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</si>
  <si>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</si>
  <si>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</si>
  <si>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</si>
  <si>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</si>
  <si>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</si>
  <si>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</si>
  <si>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</si>
  <si>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</si>
  <si>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</si>
  <si>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</si>
  <si>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</si>
  <si>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</si>
  <si>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</si>
  <si>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</si>
  <si>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</si>
  <si>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</si>
  <si>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</si>
  <si>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</si>
  <si>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</si>
  <si>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</si>
  <si>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</si>
  <si>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</si>
  <si>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</si>
  <si>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</si>
  <si>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</si>
  <si>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</si>
  <si>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</si>
  <si>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</si>
  <si>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</si>
  <si>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</si>
  <si>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</si>
  <si>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</si>
  <si>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</si>
  <si>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</si>
  <si>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</si>
  <si>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</si>
  <si>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</si>
  <si>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</si>
  <si>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</si>
  <si>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</si>
  <si>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</si>
  <si>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</si>
  <si>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</si>
  <si>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</si>
  <si>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</si>
  <si>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</si>
  <si>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</si>
  <si>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</si>
  <si>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</si>
  <si>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</si>
  <si>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</si>
  <si>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</si>
  <si>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</si>
  <si>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</si>
  <si>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</si>
  <si>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</si>
  <si>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</si>
  <si>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</si>
  <si>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</si>
  <si>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</si>
  <si>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</si>
  <si>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</si>
  <si>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</si>
  <si>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</si>
  <si>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</si>
  <si>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</si>
  <si>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</si>
  <si>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</si>
  <si>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</si>
  <si>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</si>
  <si>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</si>
  <si>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</si>
  <si>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</si>
  <si>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</si>
  <si>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</si>
  <si>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</si>
  <si>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</si>
  <si>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</si>
  <si>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</si>
  <si>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</si>
  <si>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</si>
  <si>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</si>
  <si>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</si>
  <si>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</si>
  <si>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</si>
  <si>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</si>
  <si>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</si>
  <si>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</si>
  <si>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</si>
  <si>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</si>
  <si>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</si>
  <si>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</si>
  <si>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</si>
  <si>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</si>
  <si>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</si>
  <si>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</si>
  <si>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</si>
  <si>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</si>
  <si>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</si>
  <si>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</si>
  <si>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</si>
  <si>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</si>
  <si>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</si>
  <si>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</si>
  <si>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</si>
  <si>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</si>
  <si>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</si>
  <si>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</si>
  <si>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</si>
  <si>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</si>
  <si>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</si>
  <si>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</si>
  <si>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</si>
  <si>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</si>
  <si>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</si>
  <si>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</si>
  <si>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</si>
  <si>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</si>
  <si>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</si>
  <si>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</si>
  <si>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</si>
  <si>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</si>
  <si>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</si>
  <si>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</si>
  <si>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</si>
  <si>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</si>
  <si>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</si>
  <si>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</si>
  <si>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</si>
  <si>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</si>
  <si>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</si>
  <si>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</si>
  <si>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</si>
  <si>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</si>
  <si>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</si>
  <si>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</si>
  <si>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</si>
  <si>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</si>
  <si>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</si>
  <si>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</si>
  <si>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</si>
  <si>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</si>
  <si>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</si>
  <si>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</si>
  <si>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</si>
  <si>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</si>
  <si>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</si>
  <si>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</si>
  <si>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</si>
  <si>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</si>
  <si>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</si>
  <si>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</si>
  <si>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</si>
  <si>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</si>
  <si>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</si>
  <si>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</si>
  <si>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</si>
  <si>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</si>
  <si>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</si>
  <si>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</si>
  <si>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</si>
  <si>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</si>
  <si>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</si>
  <si>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</si>
  <si>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</si>
  <si>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</si>
  <si>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</si>
  <si>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</si>
  <si>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</si>
  <si>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</si>
  <si>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</si>
  <si>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</si>
  <si>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</si>
  <si>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</si>
  <si>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</si>
  <si>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</si>
  <si>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</si>
  <si>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</si>
  <si>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</si>
  <si>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</si>
  <si>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</si>
  <si>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</si>
  <si>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</si>
  <si>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</si>
  <si>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</si>
  <si>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</si>
  <si>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</si>
  <si>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</si>
  <si>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</si>
  <si>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</si>
  <si>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</si>
  <si>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</si>
  <si>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</si>
  <si>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</si>
  <si>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</si>
  <si>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</si>
  <si>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</si>
  <si>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</si>
  <si>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</si>
  <si>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</si>
  <si>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</si>
  <si>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</si>
  <si>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</si>
  <si>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</si>
  <si>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</si>
  <si>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</si>
  <si>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</si>
  <si>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</si>
  <si>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</si>
  <si>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</si>
  <si>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</si>
  <si>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</si>
  <si>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</si>
  <si>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</si>
  <si>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</si>
  <si>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</si>
  <si>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</si>
  <si>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</si>
  <si>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</si>
  <si>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</si>
  <si>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</si>
  <si>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</si>
  <si>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</si>
  <si>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</si>
  <si>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</si>
  <si>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</si>
  <si>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</si>
  <si>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</si>
  <si>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</si>
  <si>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</si>
  <si>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</si>
  <si>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</si>
  <si>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</si>
  <si>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</si>
  <si>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</si>
  <si>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</si>
  <si>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</si>
  <si>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</si>
  <si>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</si>
  <si>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</si>
  <si>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</si>
  <si>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</si>
  <si>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</si>
  <si>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</si>
  <si>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</si>
  <si>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</si>
  <si>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</si>
  <si>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</si>
  <si>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</si>
  <si>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</si>
  <si>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</si>
  <si>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</si>
  <si>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</si>
  <si>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</si>
  <si>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</si>
  <si>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</si>
  <si>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</si>
  <si>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</si>
  <si>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</si>
  <si>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</si>
  <si>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</si>
  <si>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</si>
  <si>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</si>
  <si>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</si>
  <si>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</si>
  <si>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</si>
  <si>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</si>
  <si>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</si>
  <si>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</si>
  <si>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</si>
  <si>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</si>
  <si>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</si>
  <si>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</si>
  <si>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</si>
  <si>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</si>
  <si>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</si>
  <si>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</si>
  <si>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</si>
  <si>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</si>
  <si>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</si>
  <si>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</si>
  <si>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</si>
  <si>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</si>
  <si>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</si>
  <si>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</si>
  <si>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</si>
  <si>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</si>
  <si>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</si>
  <si>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</si>
  <si>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</si>
  <si>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</si>
  <si>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</si>
  <si>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</si>
  <si>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</si>
  <si>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</si>
  <si>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</si>
  <si>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</si>
  <si>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</si>
  <si>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</si>
  <si>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</si>
  <si>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</si>
  <si>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</si>
  <si>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</si>
  <si>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</si>
  <si>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</si>
  <si>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</si>
  <si>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</si>
  <si>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</si>
  <si>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</si>
  <si>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</si>
  <si>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</si>
  <si>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</si>
  <si>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</si>
  <si>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</si>
  <si>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</si>
  <si>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</si>
  <si>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</si>
  <si>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</si>
  <si>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</si>
  <si>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</si>
  <si>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</si>
  <si>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</si>
  <si>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</si>
  <si>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</si>
  <si>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</si>
  <si>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</si>
  <si>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</si>
  <si>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</si>
  <si>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</si>
  <si>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</si>
  <si>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</si>
  <si>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</si>
  <si>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</si>
  <si>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</si>
  <si>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</si>
  <si>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</si>
  <si>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</si>
  <si>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</si>
  <si>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</si>
  <si>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</si>
  <si>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</si>
  <si>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</si>
  <si>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</si>
  <si>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</si>
  <si>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</si>
  <si>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</si>
  <si>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</si>
  <si>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</si>
  <si>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</si>
  <si>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</si>
  <si>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</si>
  <si>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</si>
  <si>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</si>
  <si>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</si>
  <si>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</si>
  <si>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</si>
  <si>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</si>
  <si>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</si>
  <si>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</si>
  <si>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</si>
  <si>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</si>
  <si>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</si>
  <si>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</si>
  <si>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</si>
  <si>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</si>
  <si>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</si>
  <si>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</si>
  <si>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</si>
  <si>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</si>
  <si>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</si>
  <si>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</si>
  <si>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</si>
  <si>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</si>
  <si>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</si>
  <si>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</si>
  <si>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</si>
  <si>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</si>
  <si>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</si>
  <si>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</si>
  <si>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</si>
  <si>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</si>
  <si>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</si>
  <si>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</si>
  <si>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</si>
  <si>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</si>
  <si>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</si>
  <si>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</si>
  <si>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</si>
  <si>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</si>
  <si>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</si>
  <si>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</si>
  <si>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</si>
  <si>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</si>
  <si>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</si>
  <si>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</si>
  <si>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</si>
  <si>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</si>
  <si>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</si>
  <si>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</si>
  <si>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</si>
  <si>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</si>
  <si>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</si>
  <si>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</si>
  <si>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</si>
  <si>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</si>
  <si>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</si>
  <si>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</si>
  <si>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</si>
  <si>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</si>
  <si>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</si>
  <si>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</si>
  <si>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</si>
  <si>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</si>
  <si>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</si>
  <si>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</si>
  <si>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</si>
  <si>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</si>
  <si>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</si>
  <si>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</si>
  <si>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</si>
  <si>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</si>
  <si>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</si>
  <si>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</si>
  <si>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</si>
  <si>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</si>
  <si>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</si>
  <si>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</si>
  <si>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</si>
  <si>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</si>
  <si>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</si>
  <si>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</si>
  <si>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</si>
  <si>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</si>
  <si>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</si>
  <si>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</si>
  <si>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</si>
  <si>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</si>
  <si>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</si>
  <si>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</si>
  <si>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</si>
  <si>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</si>
  <si>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</si>
  <si>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</si>
  <si>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</si>
  <si>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</si>
  <si>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</si>
  <si>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</si>
  <si>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</si>
  <si>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</si>
  <si>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</si>
  <si>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</si>
  <si>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</si>
  <si>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</si>
  <si>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</si>
  <si>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</si>
  <si>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</si>
  <si>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</si>
  <si>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</si>
  <si>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</si>
  <si>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</si>
  <si>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</si>
  <si>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</si>
  <si>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</si>
  <si>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</si>
  <si>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</si>
  <si>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</si>
  <si>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</si>
  <si>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</si>
  <si>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</si>
  <si>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</si>
  <si>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</si>
  <si>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</si>
  <si>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</si>
  <si>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</si>
  <si>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</si>
  <si>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</si>
  <si>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</si>
  <si>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</si>
  <si>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</si>
  <si>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</si>
  <si>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</si>
  <si>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</si>
  <si>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</si>
  <si>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</si>
  <si>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</si>
  <si>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</si>
  <si>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</si>
  <si>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</si>
  <si>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</si>
  <si>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</si>
  <si>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</si>
  <si>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</si>
  <si>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</si>
  <si>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</si>
  <si>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</si>
  <si>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</si>
  <si>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</si>
  <si>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</si>
  <si>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</si>
  <si>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</si>
  <si>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</si>
  <si>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</si>
  <si>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</si>
  <si>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</si>
  <si>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</si>
  <si>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</si>
  <si>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</si>
  <si>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</si>
  <si>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</si>
  <si>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</si>
  <si>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</si>
  <si>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</si>
  <si>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</si>
  <si>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</si>
  <si>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</si>
  <si>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</si>
  <si>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</si>
  <si>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</si>
  <si>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</si>
  <si>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</si>
  <si>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</si>
  <si>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</si>
  <si>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</si>
  <si>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</si>
  <si>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</si>
  <si>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</si>
  <si>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</si>
  <si>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</si>
  <si>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</si>
  <si>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</si>
  <si>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</si>
  <si>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</si>
  <si>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</si>
  <si>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</si>
  <si>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</si>
  <si>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</si>
  <si>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</si>
  <si>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</si>
  <si>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</si>
  <si>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</si>
  <si>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</si>
  <si>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</si>
  <si>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</si>
  <si>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</si>
  <si>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</si>
  <si>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</si>
  <si>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</si>
  <si>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</si>
  <si>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</si>
  <si>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</si>
  <si>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</si>
  <si>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</si>
  <si>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</si>
  <si>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</si>
  <si>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</si>
  <si>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</si>
  <si>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</si>
  <si>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</si>
  <si>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</si>
  <si>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</si>
  <si>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</si>
  <si>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</si>
  <si>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</si>
  <si>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</si>
  <si>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</si>
  <si>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</si>
  <si>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</si>
  <si>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</si>
  <si>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</si>
  <si>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</si>
  <si>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</si>
  <si>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</si>
  <si>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</si>
  <si>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</si>
  <si>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</si>
  <si>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</si>
  <si>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</si>
  <si>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</si>
  <si>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</si>
  <si>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</si>
  <si>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</si>
  <si>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</si>
  <si>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</si>
  <si>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</si>
  <si>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</si>
  <si>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</si>
  <si>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</si>
  <si>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</si>
  <si>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</si>
  <si>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</si>
  <si>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</si>
  <si>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</si>
  <si>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</si>
  <si>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</si>
  <si>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</si>
  <si>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</si>
  <si>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</si>
  <si>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</si>
  <si>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</si>
  <si>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</si>
  <si>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</si>
  <si>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</si>
  <si>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</si>
  <si>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</si>
  <si>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</si>
  <si>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</si>
  <si>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</si>
  <si>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</si>
  <si>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</si>
  <si>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</si>
  <si>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</si>
  <si>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</si>
  <si>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</si>
  <si>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</si>
  <si>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</si>
  <si>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</si>
  <si>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</si>
  <si>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</si>
  <si>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</si>
  <si>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</si>
  <si>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</si>
  <si>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</si>
  <si>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</si>
  <si>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</si>
  <si>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</si>
  <si>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</si>
  <si>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</si>
  <si>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</si>
  <si>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</si>
  <si>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</si>
  <si>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</si>
  <si>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</si>
  <si>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</si>
  <si>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</si>
  <si>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</si>
  <si>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</si>
  <si>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</si>
  <si>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</si>
  <si>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</si>
  <si>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</si>
  <si>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</si>
  <si>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</si>
  <si>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</si>
  <si>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</si>
  <si>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</si>
  <si>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</si>
  <si>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</si>
  <si>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</si>
  <si>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</si>
  <si>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</si>
  <si>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</si>
  <si>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</si>
  <si>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</si>
  <si>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</si>
  <si>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</si>
  <si>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</si>
  <si>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</si>
  <si>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</si>
  <si>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</si>
  <si>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</si>
  <si>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</si>
  <si>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</si>
  <si>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</si>
  <si>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</si>
  <si>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</si>
  <si>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</si>
  <si>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</si>
  <si>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</si>
  <si>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</si>
  <si>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</si>
  <si>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</si>
  <si>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</si>
  <si>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</si>
  <si>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</si>
  <si>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</si>
  <si>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</si>
  <si>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</si>
  <si>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</si>
  <si>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</si>
  <si>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</si>
  <si>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</si>
  <si>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</si>
  <si>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</si>
  <si>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</si>
  <si>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</si>
  <si>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</si>
  <si>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</si>
  <si>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</si>
  <si>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</si>
  <si>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</si>
  <si>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</si>
  <si>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</si>
  <si>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</si>
  <si>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</si>
  <si>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</si>
  <si>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</si>
  <si>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</si>
  <si>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</si>
  <si>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</si>
  <si>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</si>
  <si>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</si>
  <si>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</si>
  <si>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</si>
  <si>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</si>
  <si>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</si>
  <si>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</si>
  <si>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</si>
  <si>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</si>
  <si>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</si>
  <si>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</si>
  <si>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</si>
  <si>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</si>
  <si>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</si>
  <si>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</si>
  <si>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</si>
  <si>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</si>
  <si>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</si>
  <si>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</si>
  <si>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</si>
  <si>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</si>
  <si>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</si>
  <si>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</si>
  <si>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</si>
  <si>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</si>
  <si>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</si>
  <si>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</si>
  <si>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</si>
  <si>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</si>
  <si>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</si>
  <si>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</si>
  <si>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</si>
  <si>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</si>
  <si>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</si>
  <si>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</si>
  <si>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</si>
  <si>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</si>
  <si>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</si>
  <si>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</si>
  <si>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</si>
  <si>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</si>
  <si>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</si>
  <si>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</si>
  <si>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</si>
  <si>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</si>
  <si>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</si>
  <si>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</si>
  <si>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</si>
  <si>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</si>
  <si>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</si>
  <si>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</si>
  <si>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</si>
  <si>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</si>
  <si>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</si>
  <si>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</si>
  <si>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</si>
  <si>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</si>
  <si>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</si>
  <si>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</si>
  <si>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</si>
  <si>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</si>
  <si>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</si>
  <si>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</si>
  <si>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</si>
  <si>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</si>
  <si>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</si>
  <si>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</si>
  <si>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</si>
  <si>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</si>
  <si>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</si>
  <si>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</si>
  <si>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</si>
  <si>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</si>
  <si>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</si>
  <si>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</si>
  <si>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</si>
  <si>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</si>
  <si>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</si>
  <si>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</si>
  <si>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</si>
  <si>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</si>
  <si>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</si>
  <si>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</si>
  <si>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</si>
  <si>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</si>
  <si>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</si>
  <si>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</si>
  <si>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</si>
  <si>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</si>
  <si>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</si>
  <si>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</si>
  <si>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</si>
  <si>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</si>
  <si>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</si>
  <si>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</si>
  <si>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</si>
  <si>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</si>
  <si>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</si>
  <si>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</si>
  <si>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</si>
  <si>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</si>
  <si>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</si>
  <si>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</si>
  <si>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</si>
  <si>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</si>
  <si>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</si>
  <si>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</si>
  <si>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</si>
  <si>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</si>
  <si>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</si>
  <si>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</si>
  <si>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</si>
  <si>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</si>
  <si>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</si>
  <si>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</si>
  <si>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</si>
  <si>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</si>
  <si>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</si>
  <si>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</si>
  <si>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</si>
  <si>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</si>
  <si>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</si>
  <si>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</si>
  <si>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</si>
  <si>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</si>
  <si>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</si>
  <si>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</si>
  <si>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</si>
  <si>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</si>
  <si>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</si>
  <si>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</si>
  <si>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</si>
  <si>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</si>
  <si>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</si>
  <si>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</si>
  <si>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</si>
  <si>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</si>
  <si>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</si>
  <si>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</si>
  <si>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</si>
  <si>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</si>
  <si>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</si>
  <si>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</si>
  <si>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</si>
  <si>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</si>
  <si>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</si>
  <si>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</si>
  <si>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</si>
  <si>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</si>
  <si>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</si>
  <si>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</si>
  <si>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</si>
  <si>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</si>
  <si>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</si>
  <si>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</si>
  <si>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</si>
  <si>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</si>
  <si>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</si>
  <si>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</si>
  <si>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</si>
  <si>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</si>
  <si>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</si>
  <si>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</si>
  <si>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</si>
  <si>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</si>
  <si>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</si>
  <si>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</si>
  <si>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</si>
  <si>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</si>
  <si>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</si>
  <si>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</si>
  <si>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</si>
  <si>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</si>
  <si>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</si>
  <si>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</si>
  <si>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</si>
  <si>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</si>
  <si>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</si>
  <si>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</si>
  <si>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</si>
  <si>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</si>
  <si>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</si>
  <si>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</si>
  <si>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</si>
  <si>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</si>
  <si>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</si>
  <si>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</si>
  <si>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</si>
  <si>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</si>
  <si>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</si>
  <si>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</si>
  <si>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</si>
  <si>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</si>
  <si>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</si>
  <si>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</si>
  <si>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</si>
  <si>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</si>
  <si>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</si>
  <si>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</si>
  <si>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</si>
  <si>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</si>
  <si>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</si>
  <si>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</si>
  <si>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</si>
  <si>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</si>
  <si>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</si>
  <si>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</si>
  <si>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</si>
  <si>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</si>
  <si>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</si>
  <si>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</si>
  <si>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</si>
  <si>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</si>
  <si>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</si>
  <si>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</si>
  <si>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</si>
  <si>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</si>
  <si>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</si>
  <si>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</si>
  <si>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</si>
  <si>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</si>
  <si>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</si>
  <si>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</si>
  <si>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</si>
  <si>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</si>
  <si>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</si>
  <si>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</si>
  <si>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</si>
  <si>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</si>
  <si>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</si>
  <si>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</si>
  <si>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</si>
  <si>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</si>
  <si>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</si>
  <si>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</si>
  <si>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</si>
  <si>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</si>
  <si>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</si>
  <si>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</si>
  <si>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</si>
  <si>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</si>
  <si>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</si>
  <si>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</si>
  <si>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</si>
  <si>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</si>
  <si>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</si>
  <si>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</si>
  <si>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</si>
  <si>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</si>
  <si>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</si>
  <si>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</si>
  <si>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</si>
  <si>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</si>
  <si>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</si>
  <si>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</si>
  <si>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</si>
  <si>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</si>
  <si>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</si>
  <si>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</si>
  <si>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</si>
  <si>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</si>
  <si>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</si>
  <si>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</si>
  <si>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</si>
  <si>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</si>
  <si>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</si>
  <si>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</si>
  <si>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</si>
  <si>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</si>
  <si>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</si>
  <si>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</si>
  <si>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</si>
  <si>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</si>
  <si>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</si>
  <si>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</si>
  <si>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</si>
  <si>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</si>
  <si>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</si>
  <si>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</si>
  <si>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</si>
  <si>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</si>
  <si>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</si>
  <si>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</si>
  <si>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</si>
  <si>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</si>
  <si>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</si>
  <si>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</si>
  <si>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</si>
  <si>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</si>
  <si>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</si>
  <si>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</si>
  <si>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</si>
  <si>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</si>
  <si>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</si>
  <si>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</si>
  <si>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</si>
  <si>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</si>
  <si>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</si>
  <si>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</si>
  <si>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</si>
  <si>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</si>
  <si>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</si>
  <si>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</si>
  <si>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</si>
  <si>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</si>
  <si>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</si>
  <si>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</si>
  <si>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</si>
  <si>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</si>
  <si>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</si>
  <si>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</si>
  <si>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</si>
  <si>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</si>
  <si>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</si>
  <si>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</si>
  <si>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</si>
  <si>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</si>
  <si>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</si>
  <si>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</si>
  <si>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</si>
  <si>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</si>
  <si>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</si>
  <si>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</si>
  <si>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</si>
  <si>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</si>
  <si>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</si>
  <si>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</si>
  <si>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</si>
  <si>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</si>
  <si>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</si>
  <si>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</si>
  <si>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</si>
  <si>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</si>
  <si>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</si>
  <si>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</si>
  <si>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</si>
  <si>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</si>
  <si>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</si>
  <si>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</si>
  <si>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</si>
  <si>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</si>
  <si>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</si>
  <si>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</si>
  <si>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</si>
  <si>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</si>
  <si>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</si>
  <si>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</si>
  <si>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</si>
  <si>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</si>
  <si>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</si>
  <si>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</si>
  <si>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</si>
  <si>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</si>
  <si>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</si>
  <si>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</si>
  <si>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</si>
  <si>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</si>
  <si>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</si>
  <si>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</si>
  <si>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</si>
  <si>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</si>
  <si>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</si>
  <si>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</si>
  <si>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</si>
  <si>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</si>
  <si>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</si>
  <si>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</si>
  <si>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</si>
  <si>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</si>
  <si>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</si>
  <si>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</si>
  <si>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</si>
  <si>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</si>
  <si>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</si>
  <si>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</si>
  <si>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</si>
  <si>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</si>
  <si>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</si>
  <si>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</si>
  <si>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</si>
  <si>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</si>
  <si>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</si>
  <si>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</si>
  <si>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</si>
  <si>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</si>
  <si>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</si>
  <si>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</si>
  <si>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</si>
  <si>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</si>
  <si>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</si>
  <si>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</si>
  <si>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</si>
  <si>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</si>
  <si>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</si>
  <si>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</si>
  <si>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</si>
  <si>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</si>
  <si>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</si>
  <si>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</si>
  <si>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</si>
  <si>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</si>
  <si>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</si>
  <si>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</si>
  <si>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</si>
  <si>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</si>
  <si>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</si>
  <si>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</si>
  <si>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</si>
  <si>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</si>
  <si>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</si>
  <si>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</si>
  <si>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</si>
  <si>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</si>
  <si>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</si>
  <si>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</si>
  <si>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</si>
  <si>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</si>
  <si>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</si>
  <si>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</si>
  <si>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</si>
  <si>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</si>
  <si>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</si>
  <si>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</si>
  <si>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</si>
  <si>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</si>
  <si>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</si>
  <si>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</si>
  <si>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</si>
  <si>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</si>
  <si>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</si>
  <si>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</si>
  <si>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</si>
  <si>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</si>
  <si>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</si>
  <si>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</si>
  <si>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</si>
  <si>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</si>
  <si>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</si>
  <si>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</si>
  <si>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</si>
  <si>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</si>
  <si>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</si>
  <si>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</si>
  <si>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</si>
  <si>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</si>
  <si>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</si>
  <si>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</si>
  <si>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</si>
  <si>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</si>
  <si>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</si>
  <si>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</si>
  <si>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</si>
  <si>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</si>
  <si>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</si>
  <si>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</si>
  <si>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</si>
  <si>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</si>
  <si>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</si>
  <si>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</si>
  <si>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</si>
  <si>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</si>
  <si>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</si>
  <si>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</si>
  <si>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</si>
  <si>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</si>
  <si>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</si>
  <si>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</si>
  <si>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</si>
  <si>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</si>
  <si>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</si>
  <si>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</si>
  <si>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</si>
  <si>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</si>
  <si>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</si>
  <si>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</si>
  <si>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</si>
  <si>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</si>
  <si>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</si>
  <si>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</si>
  <si>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</si>
  <si>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</si>
  <si>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</si>
  <si>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</si>
  <si>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</si>
  <si>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</si>
  <si>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</si>
  <si>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</si>
  <si>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</si>
  <si>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</si>
  <si>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</si>
  <si>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</si>
  <si>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</si>
  <si>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</si>
  <si>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</si>
  <si>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</si>
  <si>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</si>
  <si>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</si>
  <si>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</si>
  <si>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</si>
  <si>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</si>
  <si>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</si>
  <si>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</si>
  <si>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</si>
  <si>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</si>
  <si>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</si>
  <si>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</si>
  <si>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</si>
  <si>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</si>
  <si>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</si>
  <si>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</si>
  <si>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</si>
  <si>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</si>
  <si>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</si>
  <si>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</si>
  <si>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</si>
  <si>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</si>
  <si>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</si>
  <si>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</si>
  <si>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</si>
  <si>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</si>
  <si>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</si>
  <si>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</si>
  <si>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</si>
  <si>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</si>
  <si>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</si>
  <si>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</si>
  <si>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</si>
  <si>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</si>
  <si>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</si>
  <si>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</si>
  <si>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</si>
  <si>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</si>
  <si>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</si>
  <si>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</si>
  <si>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</si>
  <si>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</si>
  <si>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</si>
  <si>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</si>
  <si>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</si>
  <si>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</si>
  <si>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</si>
  <si>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</si>
  <si>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</si>
  <si>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</si>
  <si>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</si>
  <si>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</si>
  <si>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</si>
  <si>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</si>
  <si>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</si>
  <si>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</si>
  <si>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</si>
  <si>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</si>
  <si>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</si>
  <si>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</si>
  <si>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</si>
  <si>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</si>
  <si>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</si>
  <si>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</si>
  <si>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</si>
  <si>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</si>
  <si>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</si>
  <si>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</si>
  <si>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</si>
  <si>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</si>
  <si>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</si>
  <si>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</si>
  <si>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</si>
  <si>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</si>
  <si>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</si>
  <si>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</si>
  <si>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</si>
  <si>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</si>
  <si>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</si>
  <si>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</si>
  <si>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</si>
  <si>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</si>
  <si>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</si>
  <si>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</si>
  <si>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</si>
  <si>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</si>
  <si>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</si>
  <si>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</si>
  <si>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</si>
  <si>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</si>
  <si>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</si>
  <si>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</si>
  <si>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</si>
  <si>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</si>
  <si>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</si>
  <si>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</si>
  <si>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</si>
  <si>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</si>
  <si>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</si>
  <si>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</si>
  <si>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</si>
  <si>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</si>
  <si>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</si>
  <si>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</si>
  <si>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</si>
  <si>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</si>
  <si>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</si>
  <si>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</si>
  <si>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</si>
  <si>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</si>
  <si>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</si>
  <si>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</si>
  <si>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</si>
  <si>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</si>
  <si>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</si>
  <si>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</si>
  <si>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</si>
  <si>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</si>
  <si>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</si>
  <si>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</si>
  <si>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</si>
  <si>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</si>
  <si>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</si>
  <si>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</si>
  <si>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</si>
  <si>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</si>
  <si>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</si>
  <si>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</si>
  <si>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</si>
  <si>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</si>
  <si>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</si>
  <si>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</si>
  <si>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</si>
  <si>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</si>
  <si>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</si>
  <si>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</si>
  <si>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</si>
  <si>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</si>
  <si>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</si>
  <si>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</si>
  <si>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</si>
  <si>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</si>
  <si>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</si>
  <si>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</si>
  <si>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</si>
  <si>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</si>
  <si>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</si>
  <si>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</si>
  <si>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</si>
  <si>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</si>
  <si>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</si>
  <si>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</si>
  <si>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</si>
  <si>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</si>
  <si>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</si>
  <si>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</si>
  <si>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</si>
  <si>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</si>
  <si>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</si>
  <si>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</si>
  <si>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</si>
  <si>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</si>
  <si>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</si>
  <si>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</si>
  <si>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</si>
  <si>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</si>
  <si>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</si>
  <si>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</si>
  <si>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</si>
  <si>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</si>
  <si>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</si>
  <si>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</si>
  <si>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</si>
  <si>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</si>
  <si>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</si>
  <si>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</si>
  <si>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</si>
  <si>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</si>
  <si>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</si>
  <si>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</si>
  <si>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</si>
  <si>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</si>
  <si>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</si>
  <si>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</si>
  <si>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</si>
  <si>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</si>
  <si>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</si>
  <si>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</si>
  <si>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</si>
  <si>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</si>
  <si>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</si>
  <si>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</si>
  <si>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</si>
  <si>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</si>
  <si>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</si>
  <si>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</si>
  <si>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</si>
  <si>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</si>
  <si>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</si>
  <si>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</si>
  <si>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</si>
  <si>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</si>
  <si>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</si>
  <si>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</si>
  <si>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</si>
  <si>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</si>
  <si>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</si>
  <si>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</si>
  <si>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</si>
  <si>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</si>
  <si>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</si>
  <si>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</si>
  <si>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</si>
  <si>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</si>
  <si>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</si>
  <si>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</si>
  <si>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</si>
  <si>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</si>
  <si>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</si>
  <si>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</si>
  <si>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</si>
  <si>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</si>
  <si>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</si>
  <si>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</si>
  <si>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</si>
  <si>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</si>
  <si>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</si>
  <si>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</si>
  <si>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</si>
  <si>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</si>
  <si>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</si>
  <si>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</si>
  <si>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</si>
  <si>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</si>
  <si>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</si>
  <si>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</si>
  <si>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</si>
  <si>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</si>
  <si>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</si>
  <si>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</si>
  <si>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</si>
  <si>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</si>
  <si>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</si>
  <si>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</si>
  <si>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</si>
  <si>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</si>
  <si>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</si>
  <si>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</si>
  <si>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</si>
  <si>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</si>
  <si>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</si>
  <si>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</si>
  <si>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</si>
  <si>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</si>
  <si>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</si>
  <si>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</si>
  <si>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</si>
  <si>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</si>
  <si>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</si>
  <si>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</si>
  <si>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</si>
  <si>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</si>
  <si>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</si>
  <si>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</si>
  <si>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</si>
  <si>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</si>
  <si>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</si>
  <si>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</si>
  <si>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</si>
  <si>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</si>
  <si>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</si>
  <si>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</si>
  <si>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</si>
  <si>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</si>
  <si>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</si>
  <si>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</si>
  <si>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</si>
  <si>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</si>
  <si>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</si>
  <si>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</si>
  <si>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</si>
  <si>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</si>
  <si>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</si>
  <si>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</si>
  <si>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</si>
  <si>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</si>
  <si>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</si>
  <si>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</si>
  <si>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</si>
  <si>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</si>
  <si>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</si>
  <si>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</si>
  <si>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</si>
  <si>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</si>
  <si>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</si>
  <si>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</si>
  <si>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</si>
  <si>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</si>
  <si>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</si>
  <si>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</si>
  <si>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</si>
  <si>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</si>
  <si>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</si>
  <si>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</si>
  <si>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</si>
  <si>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</si>
  <si>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</si>
  <si>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</si>
  <si>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</si>
  <si>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</si>
  <si>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</si>
  <si>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</si>
  <si>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</si>
  <si>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</si>
  <si>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</si>
  <si>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</si>
  <si>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</si>
  <si>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</si>
  <si>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</si>
  <si>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</si>
  <si>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</si>
  <si>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</si>
  <si>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</si>
  <si>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</si>
  <si>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</si>
  <si>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</si>
  <si>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</si>
  <si>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</si>
  <si>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</si>
  <si>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</si>
  <si>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</si>
  <si>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</si>
  <si>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</si>
  <si>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</si>
  <si>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</si>
  <si>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</si>
  <si>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</si>
  <si>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</si>
  <si>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</si>
  <si>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</si>
  <si>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</si>
  <si>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</si>
  <si>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</si>
  <si>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</si>
  <si>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</si>
  <si>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</si>
  <si>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</si>
  <si>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</si>
  <si>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</si>
  <si>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</si>
  <si>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</si>
  <si>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</si>
  <si>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</si>
  <si>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</si>
  <si>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</si>
  <si>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</si>
  <si>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</si>
  <si>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</si>
  <si>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</si>
  <si>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</si>
  <si>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</si>
  <si>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</si>
  <si>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</si>
  <si>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</si>
  <si>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</si>
  <si>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</si>
  <si>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</si>
  <si>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</si>
  <si>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</si>
  <si>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</si>
  <si>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</si>
  <si>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</si>
  <si>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</si>
  <si>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</si>
  <si>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</si>
  <si>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</si>
  <si>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</si>
  <si>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</si>
  <si>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</si>
  <si>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</si>
  <si>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</si>
  <si>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</si>
  <si>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</si>
  <si>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</si>
  <si>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</si>
  <si>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</si>
  <si>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</si>
  <si>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</si>
  <si>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</si>
  <si>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</si>
  <si>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</si>
  <si>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</si>
  <si>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</si>
  <si>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</si>
  <si>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</si>
  <si>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</si>
  <si>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</si>
  <si>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</si>
  <si>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</si>
  <si>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</si>
  <si>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</si>
  <si>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</si>
  <si>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</si>
  <si>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</si>
  <si>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</si>
  <si>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</si>
  <si>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</si>
  <si>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</si>
  <si>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</si>
  <si>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</si>
  <si>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</si>
  <si>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</si>
  <si>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</si>
  <si>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</si>
  <si>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</si>
  <si>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</si>
  <si>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</si>
  <si>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</si>
  <si>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</si>
  <si>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</si>
  <si>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</si>
  <si>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</si>
  <si>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</si>
  <si>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</si>
  <si>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</si>
  <si>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</si>
  <si>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</si>
  <si>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</si>
  <si>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</si>
  <si>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</si>
  <si>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</si>
  <si>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</si>
  <si>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</si>
  <si>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</si>
  <si>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</si>
  <si>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</si>
  <si>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</si>
  <si>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</si>
  <si>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</si>
  <si>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</si>
  <si>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</si>
  <si>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</si>
  <si>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</si>
  <si>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</si>
  <si>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</si>
  <si>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</si>
  <si>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</si>
  <si>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</si>
  <si>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</si>
  <si>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</si>
  <si>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</si>
  <si>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</si>
  <si>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</si>
  <si>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</si>
  <si>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</si>
  <si>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</si>
  <si>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</si>
  <si>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</si>
  <si>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</si>
  <si>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</si>
  <si>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</si>
  <si>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</si>
  <si>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</si>
  <si>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</si>
  <si>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</si>
  <si>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</si>
  <si>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</si>
  <si>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</si>
  <si>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</si>
  <si>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</si>
  <si>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</si>
  <si>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</si>
  <si>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</si>
  <si>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</si>
  <si>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</si>
  <si>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</si>
  <si>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</si>
  <si>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</si>
  <si>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</si>
  <si>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</si>
  <si>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</si>
  <si>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</si>
  <si>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</si>
  <si>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</si>
  <si>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</si>
  <si>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</si>
  <si>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</si>
  <si>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</si>
  <si>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</si>
  <si>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</si>
  <si>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</si>
  <si>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</si>
  <si>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</si>
  <si>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</si>
  <si>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</si>
  <si>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</si>
  <si>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</si>
  <si>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</si>
  <si>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</si>
  <si>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</si>
  <si>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</si>
  <si>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</si>
  <si>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</si>
  <si>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</si>
  <si>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</si>
  <si>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</si>
  <si>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</si>
  <si>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</si>
  <si>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</si>
  <si>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</si>
  <si>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</si>
  <si>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</si>
  <si>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</si>
  <si>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</si>
  <si>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</si>
  <si>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</si>
  <si>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</si>
  <si>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</si>
  <si>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</si>
  <si>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</si>
  <si>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</si>
  <si>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</si>
  <si>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</si>
  <si>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</si>
  <si>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</si>
  <si>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</si>
  <si>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</si>
  <si>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</si>
  <si>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</si>
  <si>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</si>
  <si>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</si>
  <si>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</si>
  <si>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</si>
  <si>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</si>
  <si>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</si>
  <si>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</si>
  <si>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</si>
  <si>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</si>
  <si>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</si>
  <si>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</si>
  <si>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</si>
  <si>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</si>
  <si>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</si>
  <si>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</si>
  <si>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</si>
  <si>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</si>
  <si>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</si>
  <si>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</si>
  <si>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</si>
  <si>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</si>
  <si>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</si>
  <si>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</si>
  <si>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</si>
  <si>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</si>
  <si>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</si>
  <si>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</si>
  <si>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</si>
  <si>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</si>
  <si>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</si>
  <si>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</si>
  <si>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</si>
  <si>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</si>
  <si>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</si>
  <si>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</si>
  <si>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</si>
  <si>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</si>
  <si>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</si>
  <si>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</si>
  <si>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</si>
  <si>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</si>
  <si>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</si>
  <si>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</si>
  <si>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</si>
  <si>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</si>
  <si>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</si>
  <si>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</si>
  <si>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</si>
  <si>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</si>
  <si>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</si>
  <si>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</si>
  <si>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</si>
  <si>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</si>
  <si>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</si>
  <si>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</si>
  <si>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</si>
  <si>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</si>
  <si>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</si>
  <si>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</si>
  <si>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</si>
  <si>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</si>
  <si>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</si>
  <si>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</si>
  <si>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</si>
  <si>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</si>
  <si>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</si>
  <si>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</si>
  <si>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</si>
  <si>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</si>
  <si>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</si>
  <si>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</si>
  <si>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</si>
  <si>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</si>
  <si>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</si>
  <si>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</si>
  <si>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</si>
  <si>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</si>
  <si>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</si>
  <si>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</si>
  <si>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</si>
  <si>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</si>
  <si>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</si>
  <si>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</si>
  <si>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</si>
  <si>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</si>
  <si>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</si>
  <si>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</si>
  <si>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</si>
  <si>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</si>
  <si>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</si>
  <si>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</si>
  <si>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</si>
  <si>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</si>
  <si>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</si>
  <si>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</si>
  <si>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</si>
  <si>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</si>
  <si>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</si>
  <si>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</si>
  <si>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</si>
  <si>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</si>
  <si>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</si>
  <si>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</si>
  <si>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</si>
  <si>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</si>
  <si>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</si>
  <si>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</si>
  <si>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</si>
  <si>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</si>
  <si>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</si>
  <si>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</si>
  <si>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</si>
  <si>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</si>
  <si>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</si>
  <si>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</si>
  <si>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</si>
  <si>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</si>
  <si>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</si>
  <si>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</si>
  <si>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</si>
  <si>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</si>
  <si>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</si>
  <si>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</si>
  <si>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</si>
  <si>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</si>
  <si>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</si>
  <si>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</si>
  <si>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</si>
  <si>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</si>
  <si>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</si>
  <si>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</si>
  <si>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</si>
  <si>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</si>
  <si>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</si>
  <si>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</si>
  <si>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</si>
  <si>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</si>
  <si>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</si>
  <si>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</si>
  <si>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</si>
  <si>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</si>
  <si>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</si>
  <si>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</si>
  <si>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</si>
  <si>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</si>
  <si>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</si>
  <si>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</si>
  <si>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</si>
  <si>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</si>
  <si>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</si>
  <si>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</si>
  <si>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</si>
  <si>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</si>
  <si>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</si>
  <si>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</si>
  <si>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</si>
  <si>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</si>
  <si>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</si>
  <si>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</si>
  <si>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</si>
  <si>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</si>
  <si>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</si>
  <si>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</si>
  <si>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</si>
  <si>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</si>
  <si>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</si>
  <si>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</si>
  <si>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</si>
  <si>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</si>
  <si>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</si>
  <si>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</si>
  <si>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</si>
  <si>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</si>
  <si>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</si>
  <si>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</si>
  <si>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</si>
  <si>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</si>
  <si>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</si>
  <si>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</si>
  <si>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</si>
  <si>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</si>
  <si>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</si>
  <si>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</si>
  <si>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</si>
  <si>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</si>
  <si>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</si>
  <si>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</si>
  <si>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</si>
  <si>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</si>
  <si>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</si>
  <si>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</si>
  <si>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</si>
  <si>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</si>
  <si>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</si>
  <si>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</si>
  <si>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</si>
  <si>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</si>
  <si>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</si>
  <si>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</si>
  <si>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</si>
  <si>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</si>
  <si>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</si>
  <si>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</si>
  <si>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</si>
  <si>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</si>
  <si>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</si>
  <si>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</si>
  <si>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</si>
  <si>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</si>
  <si>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</si>
  <si>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</si>
  <si>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</si>
  <si>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</si>
  <si>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</si>
  <si>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</si>
  <si>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</si>
  <si>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</si>
  <si>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</si>
  <si>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</si>
  <si>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</si>
  <si>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</si>
  <si>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</si>
  <si>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</si>
  <si>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</si>
  <si>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</si>
  <si>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</si>
  <si>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</si>
  <si>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</si>
  <si>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</si>
  <si>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</si>
  <si>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</si>
  <si>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</si>
  <si>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</si>
  <si>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</si>
  <si>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</si>
  <si>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</si>
  <si>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</si>
  <si>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</si>
  <si>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</si>
  <si>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</si>
  <si>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</si>
  <si>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</si>
  <si>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</si>
  <si>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</si>
  <si>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</si>
  <si>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</si>
  <si>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</si>
  <si>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</si>
  <si>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</si>
  <si>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</si>
  <si>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</si>
  <si>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</si>
  <si>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</si>
  <si>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</si>
  <si>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</si>
  <si>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</si>
  <si>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</si>
  <si>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</si>
  <si>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</si>
  <si>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</si>
  <si>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</si>
  <si>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</si>
  <si>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</si>
  <si>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</si>
  <si>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</si>
  <si>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</si>
  <si>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</si>
  <si>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</si>
  <si>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</si>
  <si>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</si>
  <si>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</si>
  <si>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</si>
  <si>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</si>
  <si>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</si>
  <si>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</si>
  <si>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</si>
  <si>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</si>
  <si>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</si>
  <si>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</si>
  <si>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</si>
  <si>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</si>
  <si>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</si>
  <si>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</si>
  <si>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</si>
  <si>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</si>
  <si>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</si>
  <si>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</si>
  <si>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</si>
  <si>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</si>
  <si>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</si>
  <si>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</si>
  <si>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</si>
  <si>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</si>
  <si>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</si>
  <si>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</si>
  <si>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</si>
  <si>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</si>
  <si>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</si>
  <si>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</si>
  <si>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</si>
  <si>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</si>
  <si>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</si>
  <si>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</si>
  <si>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</si>
  <si>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</si>
  <si>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</si>
  <si>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</si>
  <si>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</si>
  <si>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</si>
  <si>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</si>
  <si>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</si>
  <si>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</si>
  <si>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</si>
  <si>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</si>
  <si>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</si>
  <si>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</si>
  <si>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</si>
  <si>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</si>
  <si>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</si>
  <si>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</si>
  <si>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</si>
  <si>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</si>
  <si>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</si>
  <si>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</si>
  <si>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</si>
  <si>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</si>
  <si>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</si>
  <si>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</si>
  <si>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</si>
  <si>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</si>
  <si>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</si>
  <si>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</si>
  <si>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</si>
  <si>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</si>
  <si>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</si>
  <si>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</si>
  <si>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</si>
  <si>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</si>
  <si>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</si>
  <si>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</si>
  <si>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</si>
  <si>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</si>
  <si>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</si>
  <si>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</si>
  <si>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</si>
  <si>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</si>
  <si>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</si>
  <si>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</si>
  <si>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</si>
  <si>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</si>
  <si>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</si>
  <si>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</si>
  <si>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</si>
  <si>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</si>
  <si>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</si>
  <si>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</si>
  <si>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</si>
  <si>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</si>
  <si>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</si>
  <si>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</si>
  <si>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</si>
  <si>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</si>
  <si>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</si>
  <si>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</si>
  <si>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</si>
  <si>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</si>
  <si>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</si>
  <si>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</si>
  <si>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</si>
  <si>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</si>
  <si>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</si>
  <si>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</si>
  <si>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</si>
  <si>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</si>
  <si>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</si>
  <si>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</si>
  <si>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</si>
  <si>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</si>
  <si>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</si>
  <si>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</si>
  <si>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</si>
  <si>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</si>
  <si>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</si>
  <si>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</si>
  <si>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</si>
  <si>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</si>
  <si>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</si>
  <si>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</si>
  <si>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</si>
  <si>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</si>
  <si>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</si>
  <si>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</si>
  <si>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</si>
  <si>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</si>
  <si>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</si>
  <si>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</si>
  <si>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</si>
  <si>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</si>
  <si>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</si>
  <si>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</si>
  <si>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</si>
  <si>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</si>
  <si>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</si>
  <si>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</si>
  <si>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</si>
  <si>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</si>
  <si>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</si>
  <si>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</si>
  <si>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</si>
  <si>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</si>
  <si>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</si>
  <si>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</si>
  <si>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</si>
  <si>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</si>
  <si>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</si>
  <si>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</si>
  <si>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</si>
  <si>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</si>
  <si>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</si>
  <si>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</si>
  <si>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</si>
  <si>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</si>
  <si>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</si>
  <si>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</si>
  <si>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</si>
  <si>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</si>
  <si>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</si>
  <si>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</si>
  <si>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</si>
  <si>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</si>
  <si>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</si>
  <si>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</si>
  <si>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</si>
  <si>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</si>
  <si>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</si>
  <si>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</si>
  <si>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</si>
  <si>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</si>
  <si>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</si>
  <si>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</si>
  <si>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</si>
  <si>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</si>
  <si>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</si>
  <si>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</si>
  <si>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</si>
  <si>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</si>
  <si>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</si>
  <si>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</si>
  <si>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</si>
  <si>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</si>
  <si>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</si>
  <si>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</si>
  <si>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</si>
  <si>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</si>
  <si>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</si>
  <si>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</si>
  <si>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</si>
  <si>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</si>
  <si>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</si>
  <si>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</si>
  <si>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</si>
  <si>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</si>
  <si>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</si>
  <si>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</si>
  <si>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</si>
  <si>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</si>
  <si>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</si>
  <si>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</si>
  <si>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</si>
  <si>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</si>
  <si>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</si>
  <si>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</si>
  <si>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</si>
  <si>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</si>
  <si>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</si>
  <si>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</si>
  <si>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</si>
  <si>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</si>
  <si>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</si>
  <si>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</si>
  <si>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</si>
  <si>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</si>
  <si>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</si>
  <si>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</si>
  <si>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</si>
  <si>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</si>
  <si>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</si>
  <si>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</si>
  <si>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</si>
  <si>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</si>
  <si>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</si>
  <si>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</si>
  <si>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</si>
  <si>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</si>
  <si>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</si>
  <si>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</si>
  <si>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</si>
  <si>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</si>
  <si>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</si>
  <si>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</si>
  <si>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</si>
  <si>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</si>
  <si>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</si>
  <si>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</si>
  <si>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</si>
  <si>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</si>
  <si>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</si>
  <si>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</si>
  <si>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</si>
  <si>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</si>
  <si>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</si>
  <si>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</si>
  <si>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</si>
  <si>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</si>
  <si>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</si>
  <si>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</si>
  <si>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</si>
  <si>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</si>
  <si>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</si>
  <si>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</si>
  <si>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</si>
  <si>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</si>
  <si>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</si>
  <si>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</si>
  <si>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</si>
  <si>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</si>
  <si>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</si>
  <si>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</si>
  <si>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</si>
  <si>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</si>
  <si>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</si>
  <si>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</si>
  <si>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</si>
  <si>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</si>
  <si>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</si>
  <si>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</si>
  <si>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</si>
  <si>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</si>
  <si>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</si>
  <si>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</si>
  <si>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</si>
  <si>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</si>
  <si>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</si>
  <si>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</si>
  <si>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</si>
  <si>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</si>
  <si>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</si>
  <si>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</si>
  <si>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</si>
  <si>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</si>
  <si>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</si>
  <si>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</si>
  <si>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</si>
  <si>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</si>
  <si>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</si>
  <si>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</si>
  <si>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</si>
  <si>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</si>
  <si>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</si>
  <si>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</si>
  <si>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</si>
  <si>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</si>
  <si>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</si>
  <si>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</si>
  <si>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</si>
  <si>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</si>
  <si>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</si>
  <si>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</si>
  <si>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</si>
  <si>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</si>
  <si>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</si>
  <si>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</si>
  <si>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</si>
  <si>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</si>
  <si>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</si>
  <si>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</si>
  <si>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</si>
  <si>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</si>
  <si>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</si>
  <si>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</si>
  <si>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</si>
  <si>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</si>
  <si>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</si>
  <si>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</si>
  <si>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</si>
  <si>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</si>
  <si>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</si>
  <si>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</si>
  <si>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</si>
  <si>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</si>
  <si>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</si>
  <si>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</si>
  <si>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</si>
  <si>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</si>
  <si>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</si>
  <si>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</si>
  <si>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</si>
  <si>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</si>
  <si>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</si>
  <si>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</si>
  <si>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</si>
  <si>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</si>
  <si>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</si>
  <si>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</si>
  <si>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</si>
  <si>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</si>
  <si>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</si>
  <si>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</si>
  <si>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</si>
  <si>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</si>
  <si>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</si>
  <si>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</si>
  <si>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</si>
  <si>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</si>
  <si>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</si>
  <si>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</si>
  <si>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</si>
  <si>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</si>
  <si>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</si>
  <si>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</si>
  <si>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</si>
  <si>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</si>
  <si>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</si>
  <si>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</si>
  <si>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</si>
  <si>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</si>
  <si>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</si>
  <si>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</si>
  <si>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</si>
  <si>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</si>
  <si>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</si>
  <si>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</si>
  <si>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</si>
  <si>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</si>
  <si>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</si>
  <si>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</si>
  <si>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</si>
  <si>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</si>
  <si>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</si>
  <si>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</si>
  <si>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</si>
  <si>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</si>
  <si>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</si>
  <si>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</si>
  <si>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</si>
  <si>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</si>
  <si>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</si>
  <si>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</si>
  <si>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</si>
  <si>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</si>
  <si>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</si>
  <si>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</si>
  <si>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</si>
  <si>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</si>
  <si>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</si>
  <si>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</si>
  <si>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</si>
  <si>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</si>
  <si>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</si>
  <si>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</si>
  <si>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</si>
  <si>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</si>
  <si>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</si>
  <si>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</si>
  <si>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</si>
  <si>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</si>
  <si>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</si>
  <si>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</si>
  <si>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</si>
  <si>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</si>
  <si>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</si>
  <si>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</si>
  <si>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</si>
  <si>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</si>
  <si>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</si>
  <si>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</si>
  <si>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</si>
  <si>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</si>
  <si>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</si>
  <si>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</si>
  <si>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</si>
  <si>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</si>
  <si>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</si>
  <si>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</si>
  <si>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</si>
  <si>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</si>
  <si>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</si>
  <si>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</si>
  <si>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</si>
  <si>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</si>
  <si>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</si>
  <si>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</si>
  <si>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</si>
  <si>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</si>
  <si>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</si>
  <si>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</si>
  <si>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</si>
  <si>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</si>
  <si>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</si>
  <si>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</si>
  <si>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</si>
  <si>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</si>
  <si>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</si>
  <si>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</si>
  <si>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</si>
  <si>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</si>
  <si>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</si>
  <si>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</si>
  <si>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</si>
  <si>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</si>
  <si>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</si>
  <si>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</si>
  <si>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</si>
  <si>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</si>
  <si>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</si>
  <si>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</si>
  <si>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</si>
  <si>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</si>
  <si>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</si>
  <si>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</si>
  <si>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</si>
  <si>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</si>
  <si>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</si>
  <si>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</si>
  <si>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</si>
  <si>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</si>
  <si>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</si>
  <si>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</si>
  <si>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</si>
  <si>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</si>
  <si>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</si>
  <si>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</si>
  <si>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</si>
  <si>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</si>
  <si>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</si>
  <si>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</si>
  <si>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</si>
  <si>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</si>
  <si>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</si>
  <si>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</si>
  <si>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</si>
  <si>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</si>
  <si>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</si>
  <si>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</si>
  <si>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</si>
  <si>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</si>
  <si>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</si>
  <si>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</si>
  <si>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</si>
  <si>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</si>
  <si>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</si>
  <si>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</si>
  <si>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</si>
  <si>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</si>
  <si>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</si>
  <si>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</si>
  <si>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</si>
  <si>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</si>
  <si>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</si>
  <si>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</si>
  <si>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</si>
  <si>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</si>
  <si>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</si>
  <si>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</si>
  <si>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</si>
  <si>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</si>
  <si>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</si>
  <si>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</si>
  <si>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</si>
  <si>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</si>
  <si>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</si>
  <si>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</si>
  <si>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</si>
  <si>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</si>
  <si>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</si>
  <si>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</si>
  <si>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</si>
  <si>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</si>
  <si>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</si>
  <si>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</si>
  <si>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</si>
  <si>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</si>
  <si>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</si>
  <si>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</si>
  <si>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</si>
  <si>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</si>
  <si>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</si>
  <si>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</si>
  <si>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</si>
  <si>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</si>
  <si>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</si>
  <si>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</si>
  <si>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</si>
  <si>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</si>
  <si>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</si>
  <si>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</si>
  <si>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</si>
  <si>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</si>
  <si>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</si>
  <si>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</si>
  <si>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</si>
  <si>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</si>
  <si>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</si>
  <si>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</si>
  <si>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</si>
  <si>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</si>
  <si>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</si>
  <si>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</si>
  <si>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</si>
  <si>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</si>
  <si>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</si>
  <si>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</si>
  <si>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</si>
  <si>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</si>
  <si>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</si>
  <si>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</si>
  <si>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</si>
  <si>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</si>
  <si>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</si>
  <si>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</si>
  <si>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</si>
  <si>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</si>
  <si>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</si>
  <si>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</si>
  <si>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</si>
  <si>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</si>
  <si>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</si>
  <si>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</si>
  <si>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</si>
  <si>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</si>
  <si>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</si>
  <si>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</si>
  <si>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</si>
  <si>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</si>
  <si>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</si>
  <si>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</si>
  <si>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</si>
  <si>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</si>
  <si>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</si>
  <si>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</si>
  <si>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</si>
  <si>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</si>
  <si>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</si>
  <si>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</si>
  <si>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</si>
  <si>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</si>
  <si>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</si>
  <si>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</si>
  <si>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</si>
  <si>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</si>
  <si>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</si>
  <si>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</si>
  <si>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</si>
  <si>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</si>
  <si>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</si>
  <si>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</si>
  <si>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</si>
  <si>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</si>
  <si>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</si>
  <si>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</si>
  <si>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</si>
  <si>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</si>
  <si>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</si>
  <si>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</si>
  <si>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</si>
  <si>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</si>
  <si>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</si>
  <si>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</si>
  <si>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</si>
  <si>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</si>
  <si>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</si>
  <si>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</si>
  <si>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</si>
  <si>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</si>
  <si>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</si>
  <si>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</si>
  <si>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</si>
  <si>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</si>
  <si>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</si>
  <si>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</si>
  <si>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</si>
  <si>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</si>
  <si>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</si>
  <si>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</si>
  <si>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</si>
  <si>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</si>
  <si>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</si>
  <si>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</si>
  <si>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</si>
  <si>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</si>
  <si>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</si>
  <si>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</si>
  <si>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</si>
  <si>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</si>
  <si>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</si>
  <si>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</si>
  <si>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</si>
  <si>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</si>
  <si>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</si>
  <si>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</si>
  <si>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</si>
  <si>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</si>
  <si>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</si>
  <si>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</si>
  <si>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</si>
  <si>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</si>
  <si>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</si>
  <si>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</si>
  <si>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</si>
  <si>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</si>
  <si>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</si>
  <si>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</si>
  <si>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</si>
  <si>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</si>
  <si>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</si>
  <si>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</si>
  <si>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</si>
  <si>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</si>
  <si>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</si>
  <si>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</si>
  <si>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</si>
  <si>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</si>
  <si>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</si>
  <si>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</si>
  <si>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</si>
  <si>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</si>
  <si>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</si>
  <si>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</si>
  <si>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</si>
  <si>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</si>
  <si>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</si>
  <si>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</si>
  <si>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</si>
  <si>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</si>
  <si>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</si>
  <si>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</si>
  <si>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</si>
  <si>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</si>
  <si>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</si>
  <si>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</si>
  <si>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</si>
  <si>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</si>
  <si>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</si>
  <si>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</si>
  <si>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</si>
  <si>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</si>
  <si>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</si>
  <si>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</si>
  <si>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</si>
  <si>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</si>
  <si>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</si>
  <si>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</si>
  <si>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</si>
  <si>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</si>
  <si>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</si>
  <si>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</si>
  <si>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</si>
  <si>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</si>
  <si>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</si>
  <si>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</si>
  <si>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</si>
  <si>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</si>
  <si>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</si>
  <si>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</si>
  <si>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</si>
  <si>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</si>
  <si>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</si>
  <si>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</si>
  <si>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</si>
  <si>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</si>
  <si>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</si>
  <si>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</si>
  <si>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</si>
  <si>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</si>
  <si>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</si>
  <si>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</si>
  <si>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</si>
  <si>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</si>
  <si>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</si>
  <si>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</si>
  <si>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</si>
  <si>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</si>
  <si>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</si>
  <si>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</si>
  <si>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</si>
  <si>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</si>
  <si>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</si>
  <si>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</si>
  <si>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</si>
  <si>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</si>
  <si>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</si>
  <si>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</si>
  <si>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</si>
  <si>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</si>
  <si>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</si>
  <si>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</si>
  <si>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</si>
  <si>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</si>
  <si>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</si>
  <si>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</si>
  <si>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</si>
  <si>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</si>
  <si>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</si>
  <si>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</si>
  <si>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</si>
  <si>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</si>
  <si>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</si>
  <si>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</si>
  <si>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</si>
  <si>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</si>
  <si>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</si>
  <si>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</si>
  <si>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</si>
  <si>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</si>
  <si>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</si>
  <si>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</si>
  <si>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</si>
  <si>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</si>
  <si>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</si>
  <si>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</si>
  <si>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</si>
  <si>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</si>
  <si>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</si>
  <si>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</si>
  <si>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</si>
  <si>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</si>
  <si>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</si>
  <si>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</si>
  <si>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</si>
  <si>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</si>
  <si>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</si>
  <si>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</si>
  <si>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</si>
  <si>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</si>
  <si>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</si>
  <si>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</si>
  <si>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</si>
  <si>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</si>
  <si>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</si>
  <si>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</si>
  <si>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</si>
  <si>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</si>
  <si>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</si>
  <si>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</si>
  <si>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</si>
  <si>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</si>
  <si>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</si>
  <si>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</si>
  <si>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</si>
  <si>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</si>
  <si>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</si>
  <si>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</si>
  <si>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</si>
  <si>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</si>
  <si>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</si>
  <si>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</si>
  <si>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</si>
  <si>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</si>
  <si>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</si>
  <si>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</si>
  <si>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</si>
  <si>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</si>
  <si>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</si>
  <si>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</si>
  <si>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</si>
  <si>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</si>
  <si>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</si>
  <si>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</si>
  <si>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</si>
  <si>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</si>
  <si>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</si>
  <si>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</si>
  <si>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</si>
  <si>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</si>
  <si>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</si>
  <si>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</si>
  <si>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</si>
  <si>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</si>
  <si>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</si>
  <si>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</si>
  <si>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</si>
  <si>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</si>
  <si>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</si>
  <si>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</si>
  <si>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</si>
  <si>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</si>
  <si>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</si>
  <si>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</si>
  <si>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</si>
  <si>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</si>
  <si>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</si>
  <si>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</si>
  <si>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</si>
  <si>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</si>
  <si>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</si>
  <si>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</si>
  <si>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</si>
  <si>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</si>
  <si>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</si>
  <si>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</si>
  <si>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</si>
  <si>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</si>
  <si>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</si>
  <si>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</si>
  <si>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</si>
  <si>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</si>
  <si>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</si>
  <si>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</si>
  <si>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</si>
  <si>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</si>
  <si>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</si>
  <si>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</si>
  <si>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</si>
  <si>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</si>
  <si>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</si>
  <si>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</si>
  <si>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</si>
  <si>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</si>
  <si>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</si>
  <si>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</si>
  <si>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</si>
  <si>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</si>
  <si>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</si>
  <si>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</si>
  <si>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</si>
  <si>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</si>
  <si>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</si>
  <si>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</si>
  <si>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</si>
  <si>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</si>
  <si>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</si>
  <si>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</si>
  <si>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</si>
  <si>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</si>
  <si>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</si>
  <si>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</si>
  <si>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</si>
  <si>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</si>
  <si>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</si>
  <si>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</si>
  <si>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</si>
  <si>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</si>
  <si>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</si>
  <si>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</si>
  <si>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</si>
  <si>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</si>
  <si>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</si>
  <si>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</si>
  <si>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</si>
  <si>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</si>
  <si>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</si>
  <si>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</si>
  <si>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</si>
  <si>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</si>
  <si>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</si>
  <si>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</si>
  <si>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</si>
  <si>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</si>
  <si>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</si>
  <si>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</si>
  <si>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</si>
  <si>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</si>
  <si>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</si>
  <si>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</si>
  <si>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</si>
  <si>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</si>
  <si>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</si>
  <si>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</si>
  <si>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</si>
  <si>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</si>
  <si>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</si>
  <si>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</si>
  <si>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</si>
  <si>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</si>
  <si>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</si>
  <si>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</si>
  <si>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</si>
  <si>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</si>
  <si>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</si>
  <si>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</si>
  <si>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</si>
  <si>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</si>
  <si>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</si>
  <si>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</si>
  <si>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</si>
  <si>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</si>
  <si>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</si>
  <si>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</si>
  <si>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</si>
  <si>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</si>
  <si>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</si>
  <si>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</si>
  <si>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</si>
  <si>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</si>
  <si>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</si>
  <si>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</si>
  <si>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</si>
  <si>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</si>
  <si>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</si>
  <si>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</si>
  <si>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</si>
  <si>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</si>
  <si>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</si>
  <si>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</si>
  <si>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</si>
  <si>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</si>
  <si>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</si>
  <si>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</si>
  <si>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</si>
  <si>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</si>
  <si>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</si>
  <si>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</si>
  <si>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</si>
  <si>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</si>
  <si>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</si>
  <si>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</si>
  <si>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</si>
  <si>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</si>
  <si>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</si>
  <si>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</si>
  <si>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</si>
  <si>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</si>
  <si>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</si>
  <si>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</si>
  <si>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</si>
  <si>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</si>
  <si>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</si>
  <si>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</si>
  <si>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</si>
  <si>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</si>
  <si>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</si>
  <si>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</si>
  <si>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</si>
  <si>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</si>
  <si>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</si>
  <si>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</si>
  <si>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</si>
  <si>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</si>
  <si>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</si>
  <si>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</si>
  <si>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</si>
  <si>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</si>
  <si>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</si>
  <si>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</si>
  <si>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</si>
  <si>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</si>
  <si>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</si>
  <si>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</si>
  <si>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</si>
  <si>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</si>
  <si>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</si>
  <si>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</si>
  <si>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</si>
  <si>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</si>
  <si>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</si>
  <si>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</si>
  <si>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</si>
  <si>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</si>
  <si>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</si>
  <si>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</si>
  <si>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</si>
  <si>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</si>
  <si>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</si>
  <si>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</si>
  <si>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</si>
  <si>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</si>
  <si>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</si>
  <si>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</si>
  <si>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</si>
  <si>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</si>
  <si>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</si>
  <si>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</si>
  <si>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</si>
  <si>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</si>
  <si>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</si>
  <si>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</si>
  <si>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</si>
  <si>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</si>
  <si>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</si>
  <si>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</si>
  <si>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</si>
  <si>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</si>
  <si>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</si>
  <si>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</si>
  <si>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</si>
  <si>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</si>
  <si>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</si>
  <si>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</si>
  <si>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</si>
  <si>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</si>
  <si>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</si>
  <si>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</si>
  <si>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</si>
  <si>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</si>
  <si>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</si>
  <si>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</si>
  <si>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</si>
  <si>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</si>
  <si>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</si>
  <si>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</si>
  <si>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</si>
  <si>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</si>
  <si>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</si>
  <si>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</si>
  <si>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</si>
  <si>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</si>
  <si>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</si>
  <si>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</si>
  <si>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</si>
  <si>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</si>
  <si>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</si>
  <si>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</si>
  <si>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</si>
  <si>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</si>
  <si>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</si>
  <si>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</si>
  <si>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</si>
  <si>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</si>
  <si>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</si>
  <si>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https://www.anglia-live.com/Suppliers/SuppliersDocs.aspx?type=Conflict%20Minerals</t>
  </si>
  <si>
    <t>Claire Stevenson</t>
  </si>
  <si>
    <t>claire.stevenson@anglia.com</t>
  </si>
  <si>
    <t>Quality manager</t>
  </si>
  <si>
    <t>claire.stevenson@anglia,com</t>
  </si>
  <si>
    <t>01945 473518</t>
  </si>
  <si>
    <t>CALINAR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</si>
</sst>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2383881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1815926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432072</xdr:colOff>
      <xdr:row>3</xdr:row>
      <xdr:rowOff>101056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anglia-live.com/Suppliers/SuppliersDocs.aspx?type=Conflict%20Minerals"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claire.stevenson@anglia,com" TargetMode="External"/><Relationship Id="rId4" Type="http://schemas.openxmlformats.org/officeDocument/2006/relationships/hyperlink" Target="mailto:claire.stevenson@anglia.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293"/>
      <c r="B2" s="5" t="s">
        <v>818</v>
      </c>
      <c r="C2" s="3"/>
      <c r="D2" s="175"/>
      <c r="E2" s="3"/>
      <c r="F2" s="3"/>
      <c r="G2" s="25"/>
    </row>
    <row r="3" spans="1:7">
      <c r="A3" s="293"/>
      <c r="B3" s="3" t="s">
        <v>811</v>
      </c>
      <c r="C3" s="5"/>
      <c r="D3" s="176"/>
      <c r="E3" s="3"/>
      <c r="F3" s="5"/>
      <c r="G3" s="25"/>
    </row>
    <row r="4" spans="1:7" ht="15">
      <c r="A4" s="293"/>
      <c r="B4" s="30" t="s">
        <v>820</v>
      </c>
      <c r="C4" s="6"/>
      <c r="D4" s="177"/>
      <c r="E4" s="3"/>
      <c r="F4" s="6"/>
      <c r="G4" s="25"/>
    </row>
    <row r="5" spans="1:7" ht="13.2">
      <c r="A5" s="293"/>
      <c r="B5" s="29" t="s">
        <v>1009</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821</v>
      </c>
      <c r="C9" s="296"/>
      <c r="D9" s="296"/>
      <c r="E9" s="296"/>
      <c r="F9" s="296"/>
      <c r="G9" s="25"/>
    </row>
    <row r="10" spans="1:7" ht="27" customHeight="1">
      <c r="A10" s="293"/>
      <c r="B10" s="297" t="s">
        <v>425</v>
      </c>
      <c r="C10" s="297"/>
      <c r="D10" s="297"/>
      <c r="E10" s="297"/>
      <c r="F10" s="297"/>
      <c r="G10" s="25"/>
    </row>
    <row r="11" spans="1:7" ht="27" customHeight="1">
      <c r="A11" s="293"/>
      <c r="B11" s="298"/>
      <c r="C11" s="298"/>
      <c r="D11" s="298"/>
      <c r="E11" s="298"/>
      <c r="F11" s="298"/>
      <c r="G11" s="25"/>
    </row>
    <row r="12" spans="1:7">
      <c r="A12" s="293"/>
      <c r="B12" s="31" t="s">
        <v>819</v>
      </c>
      <c r="C12" s="32" t="s">
        <v>822</v>
      </c>
      <c r="D12" s="179" t="s">
        <v>823</v>
      </c>
      <c r="E12" s="32" t="s">
        <v>595</v>
      </c>
      <c r="F12" s="32" t="s">
        <v>596</v>
      </c>
      <c r="G12" s="25"/>
    </row>
    <row r="13" spans="1:7" ht="20.399999999999999">
      <c r="A13" s="293"/>
      <c r="B13" s="2">
        <v>1</v>
      </c>
      <c r="C13" s="27" t="s">
        <v>1057</v>
      </c>
      <c r="D13" s="28" t="s">
        <v>847</v>
      </c>
      <c r="E13" s="163" t="s">
        <v>824</v>
      </c>
      <c r="F13" s="163"/>
      <c r="G13" s="25"/>
    </row>
    <row r="14" spans="1:7" ht="30.6">
      <c r="A14" s="293"/>
      <c r="B14" s="2">
        <v>2</v>
      </c>
      <c r="C14" s="27" t="s">
        <v>1057</v>
      </c>
      <c r="D14" s="28" t="s">
        <v>994</v>
      </c>
      <c r="E14" s="163" t="s">
        <v>515</v>
      </c>
      <c r="F14" s="163" t="s">
        <v>516</v>
      </c>
      <c r="G14" s="25"/>
    </row>
    <row r="15" spans="1:7" ht="89.1" customHeight="1">
      <c r="A15" s="293"/>
      <c r="B15" s="299">
        <v>2.0099999999999998</v>
      </c>
      <c r="C15" s="302" t="s">
        <v>1057</v>
      </c>
      <c r="D15" s="305" t="s">
        <v>2198</v>
      </c>
      <c r="E15" s="164" t="s">
        <v>597</v>
      </c>
      <c r="F15" s="164" t="s">
        <v>600</v>
      </c>
      <c r="G15" s="25"/>
    </row>
    <row r="16" spans="1:7" ht="99" customHeight="1">
      <c r="A16" s="293"/>
      <c r="B16" s="300"/>
      <c r="C16" s="303"/>
      <c r="D16" s="306"/>
      <c r="E16" s="165"/>
      <c r="F16" s="165" t="s">
        <v>598</v>
      </c>
      <c r="G16" s="25"/>
    </row>
    <row r="17" spans="1:7" ht="63" customHeight="1">
      <c r="A17" s="293"/>
      <c r="B17" s="301"/>
      <c r="C17" s="304"/>
      <c r="D17" s="307"/>
      <c r="E17" s="27"/>
      <c r="F17" s="27" t="s">
        <v>599</v>
      </c>
      <c r="G17" s="25"/>
    </row>
    <row r="18" spans="1:7" ht="117" customHeight="1">
      <c r="A18" s="293"/>
      <c r="B18" s="299">
        <v>2.02</v>
      </c>
      <c r="C18" s="302" t="s">
        <v>1057</v>
      </c>
      <c r="D18" s="305" t="s">
        <v>2199</v>
      </c>
      <c r="E18" s="164" t="s">
        <v>426</v>
      </c>
      <c r="F18" s="164" t="s">
        <v>510</v>
      </c>
      <c r="G18" s="25"/>
    </row>
    <row r="19" spans="1:7" ht="71.099999999999994" customHeight="1">
      <c r="A19" s="293"/>
      <c r="B19" s="300"/>
      <c r="C19" s="303"/>
      <c r="D19" s="306"/>
      <c r="E19" s="165" t="s">
        <v>514</v>
      </c>
      <c r="F19" s="165" t="s">
        <v>427</v>
      </c>
      <c r="G19" s="25"/>
    </row>
    <row r="20" spans="1:7" ht="90.75" customHeight="1">
      <c r="A20" s="293"/>
      <c r="B20" s="300"/>
      <c r="C20" s="303"/>
      <c r="D20" s="306"/>
      <c r="E20" s="165"/>
      <c r="F20" s="165" t="s">
        <v>602</v>
      </c>
      <c r="G20" s="25"/>
    </row>
    <row r="21" spans="1:7" ht="74.25" customHeight="1">
      <c r="A21" s="293"/>
      <c r="B21" s="301"/>
      <c r="C21" s="304"/>
      <c r="D21" s="307"/>
      <c r="E21" s="27"/>
      <c r="F21" s="27" t="s">
        <v>601</v>
      </c>
      <c r="G21" s="25"/>
    </row>
    <row r="22" spans="1:7" ht="90" customHeight="1">
      <c r="A22" s="293"/>
      <c r="B22" s="311">
        <v>2.0299999999999998</v>
      </c>
      <c r="C22" s="311" t="s">
        <v>794</v>
      </c>
      <c r="D22" s="314" t="s">
        <v>2200</v>
      </c>
      <c r="E22" s="302" t="s">
        <v>424</v>
      </c>
      <c r="F22" s="164" t="s">
        <v>447</v>
      </c>
      <c r="G22" s="25"/>
    </row>
    <row r="23" spans="1:7" ht="109.5" customHeight="1">
      <c r="A23" s="293"/>
      <c r="B23" s="312"/>
      <c r="C23" s="312"/>
      <c r="D23" s="315"/>
      <c r="E23" s="303"/>
      <c r="F23" s="165" t="s">
        <v>795</v>
      </c>
      <c r="G23" s="25"/>
    </row>
    <row r="24" spans="1:7" ht="74.25" customHeight="1">
      <c r="A24" s="293"/>
      <c r="B24" s="313"/>
      <c r="C24" s="313"/>
      <c r="D24" s="316"/>
      <c r="E24" s="304"/>
      <c r="F24" s="27" t="s">
        <v>423</v>
      </c>
      <c r="G24" s="25"/>
    </row>
    <row r="25" spans="1:7" ht="72" customHeight="1">
      <c r="A25" s="293"/>
      <c r="B25" s="2" t="s">
        <v>445</v>
      </c>
      <c r="C25" s="27" t="s">
        <v>446</v>
      </c>
      <c r="D25" s="28" t="s">
        <v>2201</v>
      </c>
      <c r="E25" s="27" t="s">
        <v>2196</v>
      </c>
      <c r="F25" s="27" t="s">
        <v>448</v>
      </c>
      <c r="G25" s="25"/>
    </row>
    <row r="26" spans="1:7" ht="98.1" customHeight="1">
      <c r="A26" s="293"/>
      <c r="B26" s="308">
        <v>3</v>
      </c>
      <c r="C26" s="299" t="s">
        <v>66</v>
      </c>
      <c r="D26" s="305" t="s">
        <v>2202</v>
      </c>
      <c r="E26" s="302" t="s">
        <v>0</v>
      </c>
      <c r="F26" s="164" t="s">
        <v>60</v>
      </c>
      <c r="G26" s="25"/>
    </row>
    <row r="27" spans="1:7" ht="90" customHeight="1">
      <c r="A27" s="293"/>
      <c r="B27" s="309"/>
      <c r="C27" s="300"/>
      <c r="D27" s="306"/>
      <c r="E27" s="303"/>
      <c r="F27" s="165" t="s">
        <v>55</v>
      </c>
      <c r="G27" s="25"/>
    </row>
    <row r="28" spans="1:7" ht="19.350000000000001" customHeight="1">
      <c r="A28" s="293"/>
      <c r="B28" s="309"/>
      <c r="C28" s="300"/>
      <c r="D28" s="306"/>
      <c r="E28" s="303"/>
      <c r="F28" s="165" t="s">
        <v>56</v>
      </c>
      <c r="G28" s="25"/>
    </row>
    <row r="29" spans="1:7" ht="74.55" customHeight="1">
      <c r="A29" s="293"/>
      <c r="B29" s="309"/>
      <c r="C29" s="300"/>
      <c r="D29" s="306"/>
      <c r="E29" s="303"/>
      <c r="F29" s="165" t="s">
        <v>57</v>
      </c>
      <c r="G29" s="25"/>
    </row>
    <row r="30" spans="1:7" ht="62.55" customHeight="1">
      <c r="A30" s="293"/>
      <c r="B30" s="309"/>
      <c r="C30" s="300"/>
      <c r="D30" s="306"/>
      <c r="E30" s="303"/>
      <c r="F30" s="165" t="s">
        <v>58</v>
      </c>
      <c r="G30" s="25"/>
    </row>
    <row r="31" spans="1:7" ht="81" customHeight="1">
      <c r="A31" s="293"/>
      <c r="B31" s="309"/>
      <c r="C31" s="300"/>
      <c r="D31" s="306"/>
      <c r="E31" s="303"/>
      <c r="F31" s="165" t="s">
        <v>59</v>
      </c>
      <c r="G31" s="25"/>
    </row>
    <row r="32" spans="1:7" ht="48.75" customHeight="1">
      <c r="A32" s="293"/>
      <c r="B32" s="309"/>
      <c r="C32" s="300"/>
      <c r="D32" s="306"/>
      <c r="E32" s="303"/>
      <c r="F32" s="165" t="s">
        <v>62</v>
      </c>
      <c r="G32" s="25"/>
    </row>
    <row r="33" spans="1:7" ht="98.55" customHeight="1">
      <c r="A33" s="293"/>
      <c r="B33" s="309"/>
      <c r="C33" s="300"/>
      <c r="D33" s="306"/>
      <c r="E33" s="303"/>
      <c r="F33" s="165" t="s">
        <v>61</v>
      </c>
      <c r="G33" s="25"/>
    </row>
    <row r="34" spans="1:7" ht="89.1" customHeight="1">
      <c r="A34" s="293"/>
      <c r="B34" s="309"/>
      <c r="C34" s="300"/>
      <c r="D34" s="306"/>
      <c r="E34" s="303"/>
      <c r="F34" s="165" t="s">
        <v>63</v>
      </c>
      <c r="G34" s="25"/>
    </row>
    <row r="35" spans="1:7" ht="29.1" customHeight="1">
      <c r="A35" s="293"/>
      <c r="B35" s="309"/>
      <c r="C35" s="300"/>
      <c r="D35" s="306"/>
      <c r="E35" s="303"/>
      <c r="F35" s="165" t="s">
        <v>64</v>
      </c>
      <c r="G35" s="25"/>
    </row>
    <row r="36" spans="1:7" ht="112.2">
      <c r="A36" s="293"/>
      <c r="B36" s="310"/>
      <c r="C36" s="301"/>
      <c r="D36" s="307"/>
      <c r="E36" s="304"/>
      <c r="F36" s="166" t="s">
        <v>65</v>
      </c>
      <c r="G36" s="25"/>
    </row>
    <row r="37" spans="1:7" ht="102">
      <c r="A37" s="293"/>
      <c r="B37" s="141">
        <v>3.01</v>
      </c>
      <c r="C37" s="142" t="s">
        <v>66</v>
      </c>
      <c r="D37" s="28" t="s">
        <v>2203</v>
      </c>
      <c r="E37" s="167" t="s">
        <v>1294</v>
      </c>
      <c r="F37" s="168" t="s">
        <v>1396</v>
      </c>
      <c r="G37" s="25"/>
    </row>
    <row r="38" spans="1:7" ht="81.599999999999994">
      <c r="A38" s="293"/>
      <c r="B38" s="141">
        <v>3.02</v>
      </c>
      <c r="C38" s="142" t="s">
        <v>1326</v>
      </c>
      <c r="D38" s="28" t="s">
        <v>2204</v>
      </c>
      <c r="E38" s="167" t="s">
        <v>1341</v>
      </c>
      <c r="F38" s="168" t="s">
        <v>1397</v>
      </c>
      <c r="G38" s="25"/>
    </row>
    <row r="39" spans="1:7" ht="81.599999999999994">
      <c r="A39" s="293"/>
      <c r="B39" s="150">
        <v>4</v>
      </c>
      <c r="C39" s="149" t="s">
        <v>1492</v>
      </c>
      <c r="D39" s="28" t="s">
        <v>2205</v>
      </c>
      <c r="E39" s="27" t="s">
        <v>2151</v>
      </c>
      <c r="F39" s="27" t="s">
        <v>1493</v>
      </c>
      <c r="G39" s="25"/>
    </row>
    <row r="40" spans="1:7" ht="40.799999999999997">
      <c r="A40" s="293"/>
      <c r="B40" s="141">
        <v>4.01</v>
      </c>
      <c r="C40" s="149" t="s">
        <v>1492</v>
      </c>
      <c r="D40" s="28" t="s">
        <v>2207</v>
      </c>
      <c r="E40" s="27" t="s">
        <v>2163</v>
      </c>
      <c r="F40" s="27" t="s">
        <v>2167</v>
      </c>
      <c r="G40" s="25"/>
    </row>
    <row r="41" spans="1:7" ht="40.799999999999997">
      <c r="A41" s="293"/>
      <c r="B41" s="141" t="s">
        <v>2194</v>
      </c>
      <c r="C41" s="149" t="s">
        <v>1492</v>
      </c>
      <c r="D41" s="28" t="s">
        <v>2206</v>
      </c>
      <c r="E41" s="27" t="s">
        <v>2197</v>
      </c>
      <c r="F41" s="27" t="s">
        <v>2195</v>
      </c>
      <c r="G41" s="25"/>
    </row>
    <row r="42" spans="1:7" ht="40.799999999999997">
      <c r="A42" s="293"/>
      <c r="B42" s="141" t="s">
        <v>2228</v>
      </c>
      <c r="C42" s="149" t="s">
        <v>1492</v>
      </c>
      <c r="D42" s="28" t="s">
        <v>2233</v>
      </c>
      <c r="E42" s="27" t="s">
        <v>2196</v>
      </c>
      <c r="F42" s="27" t="s">
        <v>2229</v>
      </c>
      <c r="G42" s="25"/>
    </row>
    <row r="43" spans="1:7" ht="112.2">
      <c r="A43" s="293"/>
      <c r="B43" s="160">
        <v>4.0999999999999996</v>
      </c>
      <c r="C43" s="149" t="s">
        <v>2232</v>
      </c>
      <c r="D43" s="161">
        <v>42867</v>
      </c>
      <c r="E43" s="169" t="s">
        <v>2235</v>
      </c>
      <c r="F43" s="27" t="s">
        <v>2234</v>
      </c>
      <c r="G43" s="25"/>
    </row>
    <row r="44" spans="1:7" ht="71.400000000000006">
      <c r="A44" s="293"/>
      <c r="B44" s="160">
        <v>4.2</v>
      </c>
      <c r="C44" s="149" t="s">
        <v>2232</v>
      </c>
      <c r="D44" s="161">
        <v>42704</v>
      </c>
      <c r="E44" s="169" t="s">
        <v>2431</v>
      </c>
      <c r="F44" s="27" t="s">
        <v>2406</v>
      </c>
      <c r="G44" s="25"/>
    </row>
    <row r="45" spans="1:7" ht="132.6">
      <c r="A45" s="293"/>
      <c r="B45" s="202">
        <v>5</v>
      </c>
      <c r="C45" s="149" t="s">
        <v>2232</v>
      </c>
      <c r="D45" s="161">
        <v>42867</v>
      </c>
      <c r="E45" s="169" t="s">
        <v>12652</v>
      </c>
      <c r="F45" s="27" t="s">
        <v>12374</v>
      </c>
      <c r="G45" s="25"/>
    </row>
    <row r="46" spans="1:7" ht="30.6">
      <c r="A46" s="293"/>
      <c r="B46" s="160">
        <v>5.01</v>
      </c>
      <c r="C46" s="149" t="s">
        <v>2232</v>
      </c>
      <c r="D46" s="161">
        <v>42907</v>
      </c>
      <c r="E46" s="169" t="s">
        <v>15329</v>
      </c>
      <c r="F46" s="27" t="s">
        <v>12374</v>
      </c>
      <c r="G46" s="25"/>
    </row>
    <row r="47" spans="1:7" ht="61.2">
      <c r="A47" s="293"/>
      <c r="B47" s="160">
        <v>5.0999999999999996</v>
      </c>
      <c r="C47" s="149" t="s">
        <v>2232</v>
      </c>
      <c r="D47" s="161">
        <v>43070</v>
      </c>
      <c r="E47" s="169" t="s">
        <v>12862</v>
      </c>
      <c r="F47" s="27" t="s">
        <v>12863</v>
      </c>
      <c r="G47" s="25"/>
    </row>
    <row r="48" spans="1:7" ht="51">
      <c r="A48" s="293"/>
      <c r="B48" s="160">
        <v>5.1100000000000003</v>
      </c>
      <c r="C48" s="149" t="s">
        <v>13097</v>
      </c>
      <c r="D48" s="161">
        <v>43217</v>
      </c>
      <c r="E48" s="169" t="s">
        <v>13199</v>
      </c>
      <c r="F48" s="27" t="s">
        <v>13124</v>
      </c>
      <c r="G48" s="25"/>
    </row>
    <row r="49" spans="1:7" ht="51">
      <c r="A49" s="293"/>
      <c r="B49" s="160">
        <v>5.12</v>
      </c>
      <c r="C49" s="149" t="s">
        <v>13097</v>
      </c>
      <c r="D49" s="161">
        <v>43581</v>
      </c>
      <c r="E49" s="169" t="s">
        <v>13199</v>
      </c>
      <c r="F49" s="27" t="s">
        <v>13741</v>
      </c>
      <c r="G49" s="25"/>
    </row>
    <row r="50" spans="1:7" ht="71.400000000000006">
      <c r="A50" s="293"/>
      <c r="B50" s="202">
        <v>6</v>
      </c>
      <c r="C50" s="149" t="s">
        <v>13097</v>
      </c>
      <c r="D50" s="161">
        <v>43964</v>
      </c>
      <c r="E50" s="169" t="s">
        <v>13953</v>
      </c>
      <c r="F50" s="27" t="s">
        <v>13744</v>
      </c>
      <c r="G50" s="25"/>
    </row>
    <row r="51" spans="1:7" ht="40.799999999999997">
      <c r="A51" s="293"/>
      <c r="B51" s="160">
        <v>6.01</v>
      </c>
      <c r="C51" s="149" t="s">
        <v>13097</v>
      </c>
      <c r="D51" s="161">
        <v>43970</v>
      </c>
      <c r="E51" s="169" t="s">
        <v>15330</v>
      </c>
      <c r="F51" s="169" t="s">
        <v>13744</v>
      </c>
      <c r="G51" s="25"/>
    </row>
    <row r="52" spans="1:7" ht="40.799999999999997">
      <c r="A52" s="293"/>
      <c r="B52" s="160">
        <v>6.1</v>
      </c>
      <c r="C52" s="149" t="s">
        <v>13097</v>
      </c>
      <c r="D52" s="161">
        <v>44314</v>
      </c>
      <c r="E52" s="169" t="s">
        <v>15323</v>
      </c>
      <c r="F52" s="169" t="s">
        <v>14913</v>
      </c>
      <c r="G52" s="25"/>
    </row>
    <row r="53" spans="1:7" ht="40.799999999999997">
      <c r="A53" s="293"/>
      <c r="B53" s="160">
        <v>6.2</v>
      </c>
      <c r="C53" s="149" t="s">
        <v>13097</v>
      </c>
      <c r="D53" s="161">
        <v>44678</v>
      </c>
      <c r="E53" s="169" t="s">
        <v>15323</v>
      </c>
      <c r="F53" s="169" t="s">
        <v>15322</v>
      </c>
      <c r="G53" s="25"/>
    </row>
    <row r="54" spans="1:7" ht="40.799999999999997">
      <c r="A54" s="293"/>
      <c r="B54" s="160">
        <v>6.21</v>
      </c>
      <c r="C54" s="149" t="s">
        <v>13097</v>
      </c>
      <c r="D54" s="161">
        <v>44687</v>
      </c>
      <c r="E54" s="169" t="s">
        <v>15331</v>
      </c>
      <c r="F54" s="169" t="s">
        <v>15322</v>
      </c>
      <c r="G54" s="25"/>
    </row>
    <row r="55" spans="1:7" ht="40.799999999999997">
      <c r="A55" s="293"/>
      <c r="B55" s="160">
        <v>6.22</v>
      </c>
      <c r="C55" s="149" t="s">
        <v>13097</v>
      </c>
      <c r="D55" s="275">
        <v>44692</v>
      </c>
      <c r="E55" s="169" t="s">
        <v>15330</v>
      </c>
      <c r="F55" s="169" t="s">
        <v>15322</v>
      </c>
      <c r="G55" s="25"/>
    </row>
    <row r="56" spans="1:7" ht="51">
      <c r="A56" s="293"/>
      <c r="B56" s="202">
        <v>6.3</v>
      </c>
      <c r="C56" s="149" t="s">
        <v>13097</v>
      </c>
      <c r="D56" s="275">
        <v>45051</v>
      </c>
      <c r="E56" s="169" t="s">
        <v>15590</v>
      </c>
      <c r="F56" s="169" t="s">
        <v>15371</v>
      </c>
      <c r="G56" s="25"/>
    </row>
    <row r="57" spans="1:7" ht="40.799999999999997">
      <c r="A57" s="293"/>
      <c r="B57" s="160">
        <v>6.31</v>
      </c>
      <c r="C57" s="149" t="s">
        <v>13097</v>
      </c>
      <c r="D57" s="275">
        <v>45072</v>
      </c>
      <c r="E57" s="169" t="s">
        <v>15592</v>
      </c>
      <c r="F57" s="169" t="s">
        <v>15371</v>
      </c>
      <c r="G57" s="25"/>
    </row>
    <row r="58" spans="1:7" ht="40.5" customHeight="1">
      <c r="A58" s="293"/>
      <c r="B58" s="202">
        <v>6.4</v>
      </c>
      <c r="C58" s="149" t="s">
        <v>13097</v>
      </c>
      <c r="D58" s="275">
        <v>45408</v>
      </c>
      <c r="E58" s="169" t="s">
        <v>15594</v>
      </c>
      <c r="F58" s="169" t="s">
        <v>15593</v>
      </c>
      <c r="G58" s="25"/>
    </row>
    <row r="59" spans="1:7" ht="32.549999999999997" customHeight="1">
      <c r="A59" s="293"/>
      <c r="B59" s="202">
        <v>6.5</v>
      </c>
      <c r="C59" s="149" t="s">
        <v>13097</v>
      </c>
      <c r="D59" s="275">
        <v>45772</v>
      </c>
      <c r="E59" s="169" t="s">
        <v>15669</v>
      </c>
      <c r="F59" s="169" t="s">
        <v>15720</v>
      </c>
      <c r="G59" s="25"/>
    </row>
    <row r="60" spans="1:7" ht="13.2" thickBot="1">
      <c r="A60" s="294"/>
      <c r="B60" s="295" t="str">
        <f ca="1">OFFSET(L!$C$1,MATCH("General"&amp;"Cpy",L!$A:$A,0)-1,SL,,)</f>
        <v>© 2025 Responsible Minerals Initiative. All rights reserved.</v>
      </c>
      <c r="C60" s="295"/>
      <c r="D60" s="295"/>
      <c r="E60" s="295"/>
      <c r="F60" s="295"/>
      <c r="G60" s="26"/>
    </row>
    <row r="61" spans="1:7" ht="13.2"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8124212C-BC61-4712-8317-F5EA4C4F70F9}"/>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3C5C703B-3290-4F5D-9785-211CB57B0A97}"/>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2.4">
      <c r="A2" s="105" t="str">
        <f ca="1">OFFSET(L!$C$1,MATCH("Instructions"&amp;ADDRESS(ROW(),COLUMN(),4),L!$A:$A,0)-1,SL,,)</f>
        <v>Introduction</v>
      </c>
      <c r="B2" s="100" t="s">
        <v>1270</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6.2">
      <c r="A5" s="106"/>
      <c r="B5" s="100"/>
    </row>
    <row r="6" spans="1:2" ht="32.4">
      <c r="A6" s="105" t="str">
        <f ca="1">OFFSET(L!$C$1,MATCH("Instructions"&amp;ADDRESS(ROW(),COLUMN(),4),L!$A:$A,0)-1,SL,,)</f>
        <v>Instructions for completing Company Information questions (rows 8 - 22).
Provide comments in ENGLISH only</v>
      </c>
      <c r="B6" s="100" t="s">
        <v>1270</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1270</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1270</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2.4">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6.2">
      <c r="A47" s="106"/>
      <c r="B47" s="100"/>
    </row>
    <row r="48" spans="1:2" ht="32.4">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4.8">
      <c r="A58" s="102" t="str">
        <f ca="1">OFFSET(L!$C$1,MATCH("Instructions"&amp;ADDRESS(ROW(),COLUMN(),4),L!$A:$A,0)-1,SL,,)</f>
        <v>8. Smelter Street -  Provide the street name on which the smelter is located. This field is optional.</v>
      </c>
      <c r="B58" s="100" t="s">
        <v>1269</v>
      </c>
    </row>
    <row r="59" spans="1:2" ht="32.4">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2.4">
      <c r="A74" s="102"/>
      <c r="B74" s="100" t="s">
        <v>428</v>
      </c>
    </row>
    <row r="75" spans="1:2" ht="16.2">
      <c r="A75" s="102" t="str">
        <f ca="1">OFFSET(L!$C$1,MATCH("General"&amp;"Cpy",L!$A:$A,0)-1,SL,,)</f>
        <v>© 2025 Responsible Minerals Initiative. All rights reserved.</v>
      </c>
      <c r="B75" s="101"/>
    </row>
    <row r="76" spans="1:2" ht="16.2">
      <c r="A76" s="103" t="s">
        <v>1004</v>
      </c>
      <c r="B76" s="101"/>
    </row>
    <row r="77" spans="1:2" ht="16.8"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8.6">
      <c r="A10" s="74"/>
      <c r="B10" s="63" t="str">
        <f ca="1">OFFSET(L!$C$1,MATCH("Definitions"&amp;ADDRESS(ROW(),COLUMN(),4),L!$A:$A,0)-1,SL,,)</f>
        <v>DRC</v>
      </c>
      <c r="C10" s="63" t="str">
        <f ca="1">OFFSET(L!$C$1,MATCH("Definitions"&amp;ADDRESS(ROW(),COLUMN(),4),L!$A:$A,0)-1,SL,,)</f>
        <v>Democratic Republic of Congo</v>
      </c>
      <c r="D10" s="321"/>
      <c r="E10" s="100" t="s">
        <v>1278</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91.60000000000002">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81">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0500000000000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6.2">
      <c r="A32" s="74"/>
      <c r="B32" s="320" t="str">
        <f ca="1">OFFSET(L!$C$1,MATCH("General"&amp;"Cpy",L!$A:$A,0)-1,SL,,)</f>
        <v>© 2025 Responsible Minerals Initiative. All rights reserved.</v>
      </c>
      <c r="C32" s="320"/>
      <c r="D32" s="321"/>
      <c r="E32" s="100"/>
    </row>
    <row r="33" spans="1:4" ht="13.2" thickBot="1">
      <c r="A33" s="75"/>
      <c r="B33" s="153"/>
      <c r="C33" s="153"/>
      <c r="D33" s="322"/>
    </row>
    <row r="34" spans="1:4" ht="13.2"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61" zoomScalePageLayoutView="70" workbookViewId="0">
      <selection activeCell="D70" sqref="D70:E70"/>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8.81640625" hidden="1" customWidth="1"/>
  </cols>
  <sheetData>
    <row r="1" spans="1:34" ht="16.8"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6.2">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7.04999999999999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47" t="s">
        <v>15823</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49999999999997"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6.2">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15818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65" t="s">
        <v>15819</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15822</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83" t="s">
        <v>15818</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15820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65" t="s">
        <v>15821</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23"/>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28">
        <v>45796</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26" t="s">
        <v>476</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 xml:space="preserve">Gold  </v>
      </c>
      <c r="C28" s="35"/>
      <c r="D28" s="326" t="s">
        <v>476</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326" t="s">
        <v>476</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476</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476</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476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68" t="s">
        <v>2432</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475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38" t="s">
        <v>15817</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6.2">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6.8"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 hidden="1">
      <c r="B98" s="56" t="s">
        <v>477</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2432</v>
      </c>
      <c r="D100" s="282" t="str">
        <f>IF(AND(OR($D$27="Yes",$D$27=""),OR($D$33="Yes",$D$33="")),"No","")</f>
        <v>No</v>
      </c>
      <c r="E100" s="282" t="str">
        <f>IF(AND(OR($D$26="Yes",$D$26=""),OR($D$32="Yes",$D$32="")),"50% or less","")</f>
        <v/>
      </c>
      <c r="G100" s="282" t="str">
        <f>IF(OR($D$28="Yes",$D$28=""),"Yes","")</f>
        <v/>
      </c>
    </row>
    <row r="101" spans="2:7" ht="15" hidden="1">
      <c r="B101" s="236" t="s">
        <v>2433</v>
      </c>
      <c r="D101" s="282" t="str">
        <f>IF(AND(OR($D$27="Yes",$D$27=""),OR($D$33="Yes",$D$33="")),"Unknown","")</f>
        <v>Unknown</v>
      </c>
      <c r="E101" s="282" t="str">
        <f>IF(AND(OR($D$26="Yes",$D$26=""),OR($D$32="Yes",$D$32="")),"None","")</f>
        <v/>
      </c>
      <c r="G101" s="282" t="str">
        <f>IF(OR($D$28="Yes",$D$28=""),"No","")</f>
        <v/>
      </c>
    </row>
    <row r="102" spans="2:7" ht="15" hidden="1">
      <c r="B102" s="236" t="s">
        <v>2434</v>
      </c>
      <c r="D102" s="282" t="str">
        <f>IF(AND(OR($D$28="Yes",$D$28=""),OR($D$34="Yes",$D$34="")),"Yes","")</f>
        <v/>
      </c>
      <c r="E102" s="282" t="str">
        <f>IF(AND(OR($D$27="Yes",$D$27=""),OR($D$33="Yes",$D$33="")),"100%","")</f>
        <v>100%</v>
      </c>
      <c r="G102" s="282" t="str">
        <f>IF(OR($D$29="Yes",$D$29=""),"Yes","")</f>
        <v/>
      </c>
    </row>
    <row r="103" spans="2:7" ht="15" hidden="1">
      <c r="B103" s="236" t="s">
        <v>2435</v>
      </c>
      <c r="D103" s="282" t="str">
        <f>IF(AND(OR($D$28="Yes",$D$28=""),OR($D$34="Yes",$D$34="")),"No","")</f>
        <v/>
      </c>
      <c r="E103" s="282" t="str">
        <f>IF(AND(OR($D$27="Yes",$D$27=""),OR($D$33="Yes",$D$33="")),"Greater than 90%","")</f>
        <v>Greater than 90%</v>
      </c>
      <c r="G103" s="282" t="str">
        <f>IF(OR($D$29="Yes",$D$29=""),"No","")</f>
        <v/>
      </c>
    </row>
    <row r="104" spans="2:7" ht="15" hidden="1">
      <c r="B104" s="236" t="s">
        <v>478</v>
      </c>
      <c r="D104" s="282" t="str">
        <f>IF(AND(OR($D$28="Yes",$D$28=""),OR($D$34="Yes",$D$34="")),"Unknown","")</f>
        <v/>
      </c>
      <c r="E104" s="282" t="str">
        <f>IF(AND(OR($D$27="Yes",$D$27=""),OR($D$33="Yes",$D$33="")),"Greater than 75%","")</f>
        <v>Greater than 75%</v>
      </c>
    </row>
    <row r="105" spans="2:7" ht="15" hidden="1">
      <c r="B105" s="236" t="s">
        <v>14853</v>
      </c>
      <c r="D105" s="282" t="str">
        <f>IF(AND(OR($D$29="Yes",$D$29=""),OR($D$35="Yes",$D$35="")),"Yes","")</f>
        <v/>
      </c>
      <c r="E105" s="282" t="str">
        <f>IF(AND(OR($D$27="Yes",$D$27=""),OR($D$33="Yes",$D$33="")),"Greater than 50%","")</f>
        <v>Greater than 50%</v>
      </c>
    </row>
    <row r="106" spans="2:7" ht="15" hidden="1">
      <c r="B106" s="236" t="s">
        <v>12341</v>
      </c>
      <c r="D106" s="282" t="str">
        <f>IF(AND(OR($D$29="Yes",$D$29=""),OR($D$35="Yes",$D$35="")),"No","")</f>
        <v/>
      </c>
      <c r="E106" s="282" t="str">
        <f>IF(AND(OR($D$27="Yes",$D$27=""),OR($D$33="Yes",$D$33="")),"50% or less","")</f>
        <v>50% or less</v>
      </c>
    </row>
    <row r="107" spans="2:7" ht="15" hidden="1">
      <c r="B107" s="236" t="s">
        <v>476</v>
      </c>
      <c r="D107" s="282" t="str">
        <f>IF(AND(OR($D$29="Yes",$D$29=""),OR($D$35="Yes",$D$35="")),"Unknown","")</f>
        <v/>
      </c>
      <c r="E107" s="282" t="str">
        <f>IF(AND(OR($D$27="Yes",$D$27=""),OR($D$33="Yes",$D$33="")),"None","")</f>
        <v>None</v>
      </c>
    </row>
    <row r="108" spans="2:7" ht="15" hidden="1">
      <c r="B108" s="236" t="s">
        <v>13880</v>
      </c>
      <c r="E108" s="282" t="str">
        <f>IF(AND(OR($D$28="Yes",$D$28=""),OR($D$34="Yes",$D$34="")),"100%","")</f>
        <v/>
      </c>
    </row>
    <row r="109" spans="2:7" ht="15" hidden="1">
      <c r="B109" s="236" t="s">
        <v>13882</v>
      </c>
      <c r="E109" s="282" t="str">
        <f>IF(AND(OR($D$28="Yes",$D$28=""),OR($D$34="Yes",$D$34="")),"Greater than 90%","")</f>
        <v/>
      </c>
    </row>
    <row r="110" spans="2:7" ht="15" hidden="1">
      <c r="B110" s="236" t="s">
        <v>13883</v>
      </c>
      <c r="E110" s="282" t="str">
        <f>IF(AND(OR($D$28="Yes",$D$28=""),OR($D$34="Yes",$D$34="")),"Greater than 75%","")</f>
        <v/>
      </c>
    </row>
    <row r="111" spans="2:7" ht="1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3428FC99-71F0-4F9E-B8E0-5B6715054D3D}"/>
    <hyperlink ref="D16" r:id="rId4" xr:uid="{CF0E5015-1B27-45A4-89FD-A809FCE98D92}"/>
    <hyperlink ref="D20" r:id="rId5" xr:uid="{33E16538-C373-4051-B383-DF8AAE7D9AFE}"/>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D11" sqref="D11"/>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19.95" customHeight="1">
      <c r="A5" s="262" t="s">
        <v>760</v>
      </c>
      <c r="B5" s="182" t="str">
        <f ca="1">IF(LEN(A5)=0,"",INDEX('Smelter Look-up'!$A:$A,MATCH($A5,'Smelter Look-up'!$E:$E,0)))</f>
        <v>Tin</v>
      </c>
      <c r="C5" s="186" t="str">
        <f ca="1">IF(LEN(A5)=0,"",INDEX('Smelter Look-up'!$C:$C,MATCH($A5,'Smelter Look-up'!$E:$E,0)))</f>
        <v>PT Timah Tbk Mentok</v>
      </c>
      <c r="D5" s="230"/>
      <c r="E5" s="182" t="str">
        <f ca="1">IF(ISERROR($V5),"",OFFSET('Smelter Look-up'!$D$4,$V5-4,0)&amp;"")</f>
        <v>INDONESIA</v>
      </c>
      <c r="F5" s="182" t="str">
        <f ca="1">IF(ISERROR($V5),"",OFFSET('Smelter Look-up'!$E$4,$V5-4,0))</f>
        <v>CID001482</v>
      </c>
      <c r="G5" s="182" t="str">
        <f ca="1">IF(C5=$X$4,IF(ISERROR($V5),"Enter smelter details","RMI"),IF(ISERROR($V5),"",OFFSET('Smelter Look-up'!$F$4,$V5-4,0)))</f>
        <v>RMI</v>
      </c>
      <c r="H5" s="183">
        <f ca="1">IF(ISERROR($V5),"",OFFSET('Smelter Look-up'!$G$4,$V5-4,0))</f>
        <v>0</v>
      </c>
      <c r="I5" s="184" t="str">
        <f ca="1">IF(ISERROR($V5),"",OFFSET('Smelter Look-up'!$H$4,$V5-4,0))</f>
        <v>Mentok</v>
      </c>
      <c r="J5" s="184" t="str">
        <f ca="1">IF(ISERROR($V5),"",OFFSET('Smelter Look-up'!$I$4,$V5-4,0))</f>
        <v>Kepulauan Bangka Belitung</v>
      </c>
      <c r="K5" s="224"/>
      <c r="L5" s="224"/>
      <c r="M5" s="224"/>
      <c r="N5" s="224"/>
      <c r="O5" s="224"/>
      <c r="P5" s="185"/>
      <c r="Q5" s="225"/>
      <c r="R5" s="182" t="str">
        <f ca="1">IF(ISERROR($V5),"",OFFSET('Smelter Look-up'!$C$4,$V5-4,0)&amp;"")</f>
        <v>PT Timah Tbk Mentok</v>
      </c>
      <c r="S5" s="181" t="str">
        <f ca="1">IF(B5="","",IF(ISERROR(MATCH($E5,CL,0)),"Unknown",INDIRECT("'C'!$A$"&amp;MATCH($E5,CL,0)+1)))</f>
        <v>ID</v>
      </c>
      <c r="T5" s="181" t="str">
        <f ca="1">IF(B5="","",IF(ISERROR(MATCH($J5,SorP!$B$1:$B$6226,0)),"",INDIRECT("'SorP'!$A$"&amp;MATCH($S5&amp;$J5,SorP!C:C,0))))</f>
        <v>ID-BB</v>
      </c>
      <c r="U5" s="201"/>
      <c r="V5" s="226">
        <f ca="1">IF(C5="",NA(),IF(OR(C5="Smelter not listed",C5="Smelter not yet identified"),MATCH($B5&amp;$D5,'Smelter Look-up'!$J:$J,0),MATCH($B5&amp;$C5,'Smelter Look-up'!$J:$J,0)))</f>
        <v>510</v>
      </c>
      <c r="X5" s="227">
        <f t="shared" ref="X5" ca="1" si="0">IF(AND(C5="Smelter not listed",OR(LEN(D5)=0,LEN(E5)=0)),1,0)</f>
        <v>0</v>
      </c>
      <c r="AB5" s="228" t="str">
        <f t="shared" ref="AB5" ca="1" si="1">B5&amp;C5</f>
        <v>TinPT Timah Tbk Mentok</v>
      </c>
    </row>
    <row r="6" spans="1:34" s="227" customFormat="1" ht="19.95"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19.95"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19.95"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19.95"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19.95"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19.95"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19.95"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19.95"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19.95"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19.95"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19.95"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19.95"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19.95"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399999999999999">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399999999999999">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399999999999999">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399999999999999">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399999999999999">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399999999999999">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399999999999999">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399999999999999">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399999999999999">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33E680EB-8DE2-47EC-ABA6-5908FD6BAFE9}"/>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6.2">
      <c r="A2" s="66" t="s">
        <v>869</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CALINAR</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Claire Stevenson</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claire.stevenson@anglia.com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01945 473518</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Claire Stevenson</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claire.stevenson@anglia,com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45796</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783</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780</v>
      </c>
      <c r="F38" s="93"/>
    </row>
    <row r="39" spans="1:10" ht="26.4">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Greater than 90%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781</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t="str">
        <f>Declaration!G77</f>
        <v>https://www.anglia-live.com/Suppliers/SuppliersDocs.aspx?type=Conflict%20Minerals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0</v>
      </c>
      <c r="G67" s="70">
        <f ca="1">IF(AND(COUNTIF(SmelterIdetifiedForMetal,"Gold")&gt;0,COUNTIF('Smelter List'!AB$5:AB$2504,"Gold?*")&gt;0),0,1)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2"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J23" sqref="J23"/>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2"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2.8">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4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1.4">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6">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6">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1.4">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1.4">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1.4">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1.4">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9">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6">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2.8">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6">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9">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1.4">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1.4">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38.6">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3.4">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6">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1.4">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60">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4.2">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43.6">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5.2">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5.2">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1.4">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7.6">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6.6">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10.4">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0.8">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58.8">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1.6">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7.2">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86.4">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1.4">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6">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6.4">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9">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5.2">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8">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2.8">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2.8">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10.4">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9">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2">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2">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0.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1.2">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2.8">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5.6">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93.2">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5.2">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1.4">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93.2">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6">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03.60000000000002">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51.8000000000000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8">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89.8">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6.6">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1.4">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9">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6">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1.4">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6">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6">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6">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6">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6">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6">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6">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6">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6">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6">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2.8">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6.4">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4.2">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51.80000000000001">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9">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8">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0.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8">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6">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0.8">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10.4">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7.39999999999998">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7">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6">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9">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6">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51.8000000000000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96.6">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6">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8.4">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6">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8">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2.8">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7">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93.2">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9.4">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6">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6">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1.4">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2">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5.2">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6">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6">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6">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6">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6">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8.8">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4">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0.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7.799999999999997">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37.799999999999997">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8.8">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8.8">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7.799999999999997">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6">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9">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0.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7.79999999999999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8.8">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1.4">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6">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8.8">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4">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4.4">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14.4">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14.4">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14.4">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4.4">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14.4">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14.4">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4.4">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6">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6">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6">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6">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6">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6">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6">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1.4">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1.4">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5.2">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6">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1.4">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6">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5.2">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6">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6">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6">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6">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6">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6">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1.4">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1.4">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6">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1.4">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1.4">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6">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1.4">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5.2">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5.2">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5.2">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5.2">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9">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9">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9">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9">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5.2">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5.2">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5.2">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5.2">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5.2">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5.2">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5.2">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5.2">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1.4">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5.2">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5.2">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5.2">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1.4">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1.4">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1.4">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1.4">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5.2">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5.2">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5.2">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82.8">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1.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1.4">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1.4">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1.4">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1.4">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1.4">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6">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2.8">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6">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6">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9">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6">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6">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9">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Steve Arnold</cp:lastModifiedBy>
  <cp:lastPrinted>2015-04-21T20:47:43Z</cp:lastPrinted>
  <dcterms:created xsi:type="dcterms:W3CDTF">2010-06-21T21:00:23Z</dcterms:created>
  <dcterms:modified xsi:type="dcterms:W3CDTF">2025-10-22T13:49:27Z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