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https://abraconllc-my.sharepoint.com/personal/leonel_santillan_abracon_com/Documents/Desktop/"/>
    </mc:Choice>
  </mc:AlternateContent>
  <xr:revisionPtr revIDLastSave="1" documentId="8_{64A85A93-2CA9-4A8F-89C0-15C9EA8E631C}" xr6:coauthVersionLast="47" xr6:coauthVersionMax="47" xr10:uidLastSave="{E6399D1A-D52A-4B09-A5DB-E76B43751A0A}"/>
  <workbookProtection workbookAlgorithmName="SHA-512" workbookHashValue="xV3V0BvUUHTVojthRaZ2o65DO4P4spespKKq6utRFZyIiHzcI2Eqi6YkYIm5WJhxvdRAWLLO3uVPzVotx6egxg==" workbookSaltValue="GSW5kE3fybFX1FR+U6GJOQ==" workbookSpinCount="100000" lockStructure="1"/>
  <bookViews>
    <workbookView xWindow="30525" yWindow="1485" windowWidth="26640" windowHeight="112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X35" i="5"/>
  <c r="R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R25"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I50" i="5"/>
  <c r="X65" i="5"/>
  <c r="I66" i="5"/>
  <c r="X81" i="5"/>
  <c r="I82"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<sst xmlns="http://schemas.openxmlformats.org/spreadsheetml/2006/main" count="22802" uniqueCount="15892">
  <si>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</si>
  <si>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</si>
  <si>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</si>
  <si>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</si>
  <si>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</si>
  <si>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</si>
  <si>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</si>
  <si>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</si>
  <si>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</si>
  <si>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</si>
  <si>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</si>
  <si>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</si>
  <si>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</si>
  <si>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</si>
  <si>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</si>
  <si>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</si>
  <si>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</si>
  <si>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</si>
  <si>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</si>
  <si>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</si>
  <si>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</si>
  <si>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</si>
  <si>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</si>
  <si>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</si>
  <si>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</si>
  <si>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</si>
  <si>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</si>
  <si>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</si>
  <si>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</si>
  <si>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</si>
  <si>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</si>
  <si>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</si>
  <si>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</si>
  <si>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</si>
  <si>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</si>
  <si>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</si>
  <si>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</si>
  <si>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</si>
  <si>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</si>
  <si>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</si>
  <si>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</si>
  <si>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</si>
  <si>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</si>
  <si>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</si>
  <si>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</si>
  <si>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</si>
  <si>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</si>
  <si>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</si>
  <si>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</si>
  <si>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</si>
  <si>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</si>
  <si>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</si>
  <si>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</si>
  <si>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</si>
  <si>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</si>
  <si>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</si>
  <si>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</si>
  <si>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</si>
  <si>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</si>
  <si>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</si>
  <si>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</si>
  <si>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</si>
  <si>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</si>
  <si>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</si>
  <si>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</si>
  <si>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</si>
  <si>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</si>
  <si>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</si>
  <si>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</si>
  <si>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</si>
  <si>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</si>
  <si>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</si>
  <si>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</si>
  <si>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</si>
  <si>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</si>
  <si>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</si>
  <si>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</si>
  <si>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</si>
  <si>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</si>
  <si>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</si>
  <si>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</si>
  <si>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</si>
  <si>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</si>
  <si>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</si>
  <si>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</si>
  <si>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</si>
  <si>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</si>
  <si>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</si>
  <si>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</si>
  <si>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</si>
  <si>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</si>
  <si>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</si>
  <si>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</si>
  <si>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</si>
  <si>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</si>
  <si>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</si>
  <si>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</si>
  <si>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</si>
  <si>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</si>
  <si>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</si>
  <si>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</si>
  <si>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</si>
  <si>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</si>
  <si>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</si>
  <si>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</si>
  <si>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</si>
  <si>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</si>
  <si>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</si>
  <si>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</si>
  <si>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</si>
  <si>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</si>
  <si>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</si>
  <si>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</si>
  <si>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</si>
  <si>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</si>
  <si>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</si>
  <si>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</si>
  <si>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</si>
  <si>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</si>
  <si>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</si>
  <si>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</si>
  <si>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</si>
  <si>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</si>
  <si>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</si>
  <si>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</si>
  <si>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</si>
  <si>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</si>
  <si>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</si>
  <si>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</si>
  <si>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</si>
  <si>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</si>
  <si>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</si>
  <si>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</si>
  <si>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</si>
  <si>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</si>
  <si>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</si>
  <si>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</si>
  <si>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</si>
  <si>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</si>
  <si>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</si>
  <si>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</si>
  <si>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</si>
  <si>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</si>
  <si>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</si>
  <si>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</si>
  <si>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</si>
  <si>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</si>
  <si>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</si>
  <si>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</si>
  <si>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</si>
  <si>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</si>
  <si>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</si>
  <si>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</si>
  <si>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</si>
  <si>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</si>
  <si>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</si>
  <si>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</si>
  <si>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</si>
  <si>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</si>
  <si>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</si>
  <si>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</si>
  <si>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</si>
  <si>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</si>
  <si>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</si>
  <si>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</si>
  <si>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</si>
  <si>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</si>
  <si>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</si>
  <si>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</si>
  <si>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</si>
  <si>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</si>
  <si>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</si>
  <si>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</si>
  <si>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</si>
  <si>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</si>
  <si>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</si>
  <si>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</si>
  <si>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</si>
  <si>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</si>
  <si>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</si>
  <si>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</si>
  <si>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</si>
  <si>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</si>
  <si>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</si>
  <si>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</si>
  <si>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</si>
  <si>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</si>
  <si>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</si>
  <si>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</si>
  <si>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</si>
  <si>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</si>
  <si>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</si>
  <si>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</si>
  <si>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</si>
  <si>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</si>
  <si>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</si>
  <si>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</si>
  <si>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</si>
  <si>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</si>
  <si>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</si>
  <si>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</si>
  <si>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</si>
  <si>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</si>
  <si>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</si>
  <si>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</si>
  <si>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</si>
  <si>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</si>
  <si>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</si>
  <si>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</si>
  <si>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</si>
  <si>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</si>
  <si>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</si>
  <si>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</si>
  <si>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</si>
  <si>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</si>
  <si>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</si>
  <si>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</si>
  <si>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</si>
  <si>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</si>
  <si>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</si>
  <si>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</si>
  <si>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</si>
  <si>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</si>
  <si>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</si>
  <si>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</si>
  <si>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</si>
  <si>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</si>
  <si>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</si>
  <si>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</si>
  <si>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</si>
  <si>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</si>
  <si>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</si>
  <si>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</si>
  <si>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</si>
  <si>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</si>
  <si>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</si>
  <si>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</si>
  <si>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</si>
  <si>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</si>
  <si>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</si>
  <si>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</si>
  <si>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</si>
  <si>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</si>
  <si>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</si>
  <si>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</si>
  <si>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</si>
  <si>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</si>
  <si>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</si>
  <si>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</si>
  <si>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</si>
  <si>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</si>
  <si>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</si>
  <si>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</si>
  <si>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</si>
  <si>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</si>
  <si>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</si>
  <si>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</si>
  <si>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</si>
  <si>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</si>
  <si>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</si>
  <si>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</si>
  <si>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</si>
  <si>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</si>
  <si>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</si>
  <si>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</si>
  <si>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</si>
  <si>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</si>
  <si>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</si>
  <si>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</si>
  <si>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</si>
  <si>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</si>
  <si>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</si>
  <si>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</si>
  <si>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</si>
  <si>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</si>
  <si>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</si>
  <si>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</si>
  <si>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</si>
  <si>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</si>
  <si>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</si>
  <si>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</si>
  <si>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</si>
  <si>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</si>
  <si>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</si>
  <si>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</si>
  <si>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</si>
  <si>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</si>
  <si>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</si>
  <si>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</si>
  <si>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</si>
  <si>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</si>
  <si>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</si>
  <si>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</si>
  <si>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</si>
  <si>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</si>
  <si>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</si>
  <si>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</si>
  <si>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</si>
  <si>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</si>
  <si>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</si>
  <si>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</si>
  <si>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</si>
  <si>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</si>
  <si>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</si>
  <si>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</si>
  <si>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</si>
  <si>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</si>
  <si>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</si>
  <si>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</si>
  <si>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</si>
  <si>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</si>
  <si>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</si>
  <si>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</si>
  <si>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</si>
  <si>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</si>
  <si>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</si>
  <si>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</si>
  <si>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</si>
  <si>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</si>
  <si>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</si>
  <si>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</si>
  <si>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</si>
  <si>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</si>
  <si>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</si>
  <si>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</si>
  <si>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</si>
  <si>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</si>
  <si>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</si>
  <si>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</si>
  <si>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</si>
  <si>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</si>
  <si>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</si>
  <si>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</si>
  <si>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</si>
  <si>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</si>
  <si>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</si>
  <si>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</si>
  <si>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</si>
  <si>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</si>
  <si>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</si>
  <si>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</si>
  <si>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</si>
  <si>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</si>
  <si>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</si>
  <si>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</si>
  <si>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</si>
  <si>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</si>
  <si>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</si>
  <si>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</si>
  <si>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</si>
  <si>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</si>
  <si>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</si>
  <si>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</si>
  <si>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</si>
  <si>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</si>
  <si>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</si>
  <si>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</si>
  <si>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</si>
  <si>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</si>
  <si>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</si>
  <si>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</si>
  <si>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</si>
  <si>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</si>
  <si>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</si>
  <si>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</si>
  <si>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</si>
  <si>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</si>
  <si>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</si>
  <si>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</si>
  <si>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</si>
  <si>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</si>
  <si>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</si>
  <si>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</si>
  <si>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</si>
  <si>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</si>
  <si>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</si>
  <si>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</si>
  <si>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</si>
  <si>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</si>
  <si>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</si>
  <si>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</si>
  <si>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</si>
  <si>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</si>
  <si>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</si>
  <si>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</si>
  <si>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</si>
  <si>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</si>
  <si>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</si>
  <si>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</si>
  <si>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</si>
  <si>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</si>
  <si>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</si>
  <si>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</si>
  <si>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</si>
  <si>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</si>
  <si>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</si>
  <si>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</si>
  <si>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</si>
  <si>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</si>
  <si>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</si>
  <si>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</si>
  <si>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</si>
  <si>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</si>
  <si>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</si>
  <si>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</si>
  <si>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</si>
  <si>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</si>
  <si>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</si>
  <si>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</si>
  <si>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</si>
  <si>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</si>
  <si>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</si>
  <si>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</si>
  <si>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</si>
  <si>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</si>
  <si>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</si>
  <si>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</si>
  <si>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</si>
  <si>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</si>
  <si>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</si>
  <si>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</si>
  <si>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</si>
  <si>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</si>
  <si>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</si>
  <si>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</si>
  <si>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</si>
  <si>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</si>
  <si>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</si>
  <si>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</si>
  <si>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</si>
  <si>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</si>
  <si>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</si>
  <si>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</si>
  <si>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</si>
  <si>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</si>
  <si>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</si>
  <si>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</si>
  <si>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</si>
  <si>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</si>
  <si>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</si>
  <si>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</si>
  <si>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</si>
  <si>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</si>
  <si>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</si>
  <si>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</si>
  <si>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</si>
  <si>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</si>
  <si>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</si>
  <si>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</si>
  <si>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</si>
  <si>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</si>
  <si>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</si>
  <si>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</si>
  <si>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</si>
  <si>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</si>
  <si>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</si>
  <si>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</si>
  <si>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</si>
  <si>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</si>
  <si>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</si>
  <si>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</si>
  <si>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</si>
  <si>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</si>
  <si>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</si>
  <si>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</si>
  <si>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</si>
  <si>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</si>
  <si>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</si>
  <si>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</si>
  <si>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</si>
  <si>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</si>
  <si>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</si>
  <si>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</si>
  <si>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</si>
  <si>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</si>
  <si>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</si>
  <si>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</si>
  <si>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</si>
  <si>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</si>
  <si>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</si>
  <si>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</si>
  <si>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</si>
  <si>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</si>
  <si>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</si>
  <si>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</si>
  <si>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</si>
  <si>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</si>
  <si>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</si>
  <si>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</si>
  <si>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</si>
  <si>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</si>
  <si>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</si>
  <si>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</si>
  <si>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</si>
  <si>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</si>
  <si>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</si>
  <si>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</si>
  <si>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</si>
  <si>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</si>
  <si>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</si>
  <si>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</si>
  <si>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</si>
  <si>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</si>
  <si>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</si>
  <si>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</si>
  <si>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</si>
  <si>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</si>
  <si>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</si>
  <si>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</si>
  <si>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</si>
  <si>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</si>
  <si>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</si>
  <si>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</si>
  <si>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</si>
  <si>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</si>
  <si>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</si>
  <si>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</si>
  <si>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</si>
  <si>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</si>
  <si>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</si>
  <si>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</si>
  <si>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</si>
  <si>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</si>
  <si>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</si>
  <si>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</si>
  <si>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</si>
  <si>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</si>
  <si>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</si>
  <si>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</si>
  <si>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</si>
  <si>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</si>
  <si>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</si>
  <si>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</si>
  <si>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</si>
  <si>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</si>
  <si>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</si>
  <si>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</si>
  <si>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</si>
  <si>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</si>
  <si>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</si>
  <si>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</si>
  <si>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</si>
  <si>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</si>
  <si>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</si>
  <si>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</si>
  <si>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</si>
  <si>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</si>
  <si>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</si>
  <si>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</si>
  <si>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</si>
  <si>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</si>
  <si>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</si>
  <si>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</si>
  <si>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</si>
  <si>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</si>
  <si>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</si>
  <si>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</si>
  <si>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</si>
  <si>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</si>
  <si>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</si>
  <si>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</si>
  <si>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</si>
  <si>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</si>
  <si>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</si>
  <si>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</si>
  <si>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</si>
  <si>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</si>
  <si>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</si>
  <si>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</si>
  <si>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</si>
  <si>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</si>
  <si>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</si>
  <si>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</si>
  <si>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</si>
  <si>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</si>
  <si>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</si>
  <si>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</si>
  <si>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</si>
  <si>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</si>
  <si>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</si>
  <si>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</si>
  <si>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</si>
  <si>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</si>
  <si>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</si>
  <si>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</si>
  <si>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</si>
  <si>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</si>
  <si>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</si>
  <si>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</si>
  <si>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</si>
  <si>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</si>
  <si>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</si>
  <si>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</si>
  <si>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</si>
  <si>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</si>
  <si>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</si>
  <si>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</si>
  <si>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</si>
  <si>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</si>
  <si>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</si>
  <si>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</si>
  <si>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</si>
  <si>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</si>
  <si>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</si>
  <si>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</si>
  <si>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</si>
  <si>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</si>
  <si>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</si>
  <si>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</si>
  <si>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</si>
  <si>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</si>
  <si>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</si>
  <si>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</si>
  <si>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</si>
  <si>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</si>
  <si>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</si>
  <si>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</si>
  <si>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</si>
  <si>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</si>
  <si>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</si>
  <si>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</si>
  <si>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</si>
  <si>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</si>
  <si>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</si>
  <si>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</si>
  <si>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</si>
  <si>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</si>
  <si>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</si>
  <si>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</si>
  <si>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</si>
  <si>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</si>
  <si>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</si>
  <si>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</si>
  <si>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</si>
  <si>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</si>
  <si>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</si>
  <si>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</si>
  <si>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</si>
  <si>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</si>
  <si>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</si>
  <si>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</si>
  <si>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</si>
  <si>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</si>
  <si>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</si>
  <si>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</si>
  <si>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</si>
  <si>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</si>
  <si>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</si>
  <si>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</si>
  <si>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</si>
  <si>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</si>
  <si>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</si>
  <si>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</si>
  <si>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</si>
  <si>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</si>
  <si>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</si>
  <si>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</si>
  <si>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</si>
  <si>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</si>
  <si>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</si>
  <si>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</si>
  <si>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</si>
  <si>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</si>
  <si>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</si>
  <si>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</si>
  <si>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</si>
  <si>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</si>
  <si>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</si>
  <si>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</si>
  <si>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</si>
  <si>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</si>
  <si>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</si>
  <si>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</si>
  <si>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</si>
  <si>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</si>
  <si>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</si>
  <si>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</si>
  <si>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</si>
  <si>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</si>
  <si>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</si>
  <si>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</si>
  <si>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</si>
  <si>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</si>
  <si>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</si>
  <si>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</si>
  <si>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</si>
  <si>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</si>
  <si>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</si>
  <si>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</si>
  <si>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</si>
  <si>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</si>
  <si>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</si>
  <si>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</si>
  <si>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</si>
  <si>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</si>
  <si>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</si>
  <si>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</si>
  <si>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</si>
  <si>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</si>
  <si>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</si>
  <si>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</si>
  <si>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</si>
  <si>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</si>
  <si>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</si>
  <si>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</si>
  <si>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</si>
  <si>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</si>
  <si>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</si>
  <si>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</si>
  <si>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</si>
  <si>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</si>
  <si>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</si>
  <si>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</si>
  <si>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</si>
  <si>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</si>
  <si>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</si>
  <si>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</si>
  <si>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</si>
  <si>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</si>
  <si>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</si>
  <si>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</si>
  <si>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</si>
  <si>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</si>
  <si>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</si>
  <si>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</si>
  <si>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</si>
  <si>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</si>
  <si>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</si>
  <si>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</si>
  <si>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</si>
  <si>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</si>
  <si>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</si>
  <si>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</si>
  <si>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</si>
  <si>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</si>
  <si>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</si>
  <si>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</si>
  <si>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</si>
  <si>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</si>
  <si>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</si>
  <si>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</si>
  <si>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</si>
  <si>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</si>
  <si>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</si>
  <si>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</si>
  <si>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</si>
  <si>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</si>
  <si>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</si>
  <si>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</si>
  <si>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</si>
  <si>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</si>
  <si>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</si>
  <si>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</si>
  <si>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</si>
  <si>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</si>
  <si>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</si>
  <si>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</si>
  <si>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</si>
  <si>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</si>
  <si>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</si>
  <si>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</si>
  <si>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</si>
  <si>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</si>
  <si>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</si>
  <si>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</si>
  <si>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</si>
  <si>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</si>
  <si>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</si>
  <si>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</si>
  <si>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</si>
  <si>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</si>
  <si>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</si>
  <si>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</si>
  <si>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</si>
  <si>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</si>
  <si>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</si>
  <si>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</si>
  <si>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</si>
  <si>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</si>
  <si>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</si>
  <si>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</si>
  <si>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</si>
  <si>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</si>
  <si>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</si>
  <si>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</si>
  <si>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</si>
  <si>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</si>
  <si>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</si>
  <si>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</si>
  <si>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</si>
  <si>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</si>
  <si>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</si>
  <si>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</si>
  <si>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</si>
  <si>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</si>
  <si>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</si>
  <si>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</si>
  <si>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</si>
  <si>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</si>
  <si>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</si>
  <si>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</si>
  <si>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</si>
  <si>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</si>
  <si>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</si>
  <si>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</si>
  <si>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</si>
  <si>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</si>
  <si>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</si>
  <si>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</si>
  <si>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</si>
  <si>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</si>
  <si>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</si>
  <si>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</si>
  <si>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</si>
  <si>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</si>
  <si>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</si>
  <si>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</si>
  <si>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</si>
  <si>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</si>
  <si>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</si>
  <si>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</si>
  <si>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</si>
  <si>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</si>
  <si>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</si>
  <si>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</si>
  <si>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</si>
  <si>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</si>
  <si>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</si>
  <si>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</si>
  <si>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</si>
  <si>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</si>
  <si>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</si>
  <si>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</si>
  <si>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</si>
  <si>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</si>
  <si>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</si>
  <si>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</si>
  <si>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</si>
  <si>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</si>
  <si>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</si>
  <si>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</si>
  <si>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</si>
  <si>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</si>
  <si>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</si>
  <si>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</si>
  <si>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</si>
  <si>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</si>
  <si>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</si>
  <si>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</si>
  <si>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</si>
  <si>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</si>
  <si>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</si>
  <si>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</si>
  <si>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</si>
  <si>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</si>
  <si>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</si>
  <si>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</si>
  <si>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</si>
  <si>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</si>
  <si>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</si>
  <si>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</si>
  <si>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</si>
  <si>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</si>
  <si>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</si>
  <si>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</si>
  <si>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</si>
  <si>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</si>
  <si>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</si>
  <si>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</si>
  <si>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</si>
  <si>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</si>
  <si>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</si>
  <si>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</si>
  <si>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</si>
  <si>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</si>
  <si>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</si>
  <si>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</si>
  <si>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</si>
  <si>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</si>
  <si>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</si>
  <si>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</si>
  <si>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</si>
  <si>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</si>
  <si>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</si>
  <si>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</si>
  <si>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</si>
  <si>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</si>
  <si>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</si>
  <si>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</si>
  <si>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</si>
  <si>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</si>
  <si>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</si>
  <si>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</si>
  <si>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</si>
  <si>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</si>
  <si>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</si>
  <si>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</si>
  <si>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</si>
  <si>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</si>
  <si>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</si>
  <si>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</si>
  <si>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</si>
  <si>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</si>
  <si>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</si>
  <si>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</si>
  <si>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</si>
  <si>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</si>
  <si>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</si>
  <si>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</si>
  <si>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</si>
  <si>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</si>
  <si>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</si>
  <si>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</si>
  <si>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</si>
  <si>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</si>
  <si>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</si>
  <si>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</si>
  <si>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</si>
  <si>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</si>
  <si>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</si>
  <si>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</si>
  <si>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</si>
  <si>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</si>
  <si>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</si>
  <si>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</si>
  <si>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</si>
  <si>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</si>
  <si>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</si>
  <si>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</si>
  <si>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</si>
  <si>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</si>
  <si>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</si>
  <si>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</si>
  <si>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</si>
  <si>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</si>
  <si>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</si>
  <si>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</si>
  <si>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</si>
  <si>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</si>
  <si>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</si>
  <si>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</si>
  <si>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</si>
  <si>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</si>
  <si>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</si>
  <si>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</si>
  <si>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</si>
  <si>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</si>
  <si>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</si>
  <si>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</si>
  <si>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</si>
  <si>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</si>
  <si>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</si>
  <si>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</si>
  <si>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</si>
  <si>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</si>
  <si>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</si>
  <si>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</si>
  <si>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</si>
  <si>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</si>
  <si>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</si>
  <si>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</si>
  <si>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</si>
  <si>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</si>
  <si>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</si>
  <si>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</si>
  <si>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</si>
  <si>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</si>
  <si>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</si>
  <si>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</si>
  <si>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</si>
  <si>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</si>
  <si>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</si>
  <si>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</si>
  <si>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</si>
  <si>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</si>
  <si>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</si>
  <si>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</si>
  <si>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</si>
  <si>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</si>
  <si>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</si>
  <si>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</si>
  <si>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</si>
  <si>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</si>
  <si>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</si>
  <si>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</si>
  <si>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</si>
  <si>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</si>
  <si>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</si>
  <si>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</si>
  <si>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</si>
  <si>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</si>
  <si>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</si>
  <si>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</si>
  <si>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</si>
  <si>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</si>
  <si>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</si>
  <si>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</si>
  <si>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</si>
  <si>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</si>
  <si>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</si>
  <si>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</si>
  <si>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</si>
  <si>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</si>
  <si>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</si>
  <si>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</si>
  <si>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</si>
  <si>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</si>
  <si>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</si>
  <si>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</si>
  <si>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</si>
  <si>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</si>
  <si>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</si>
  <si>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</si>
  <si>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</si>
  <si>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</si>
  <si>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</si>
  <si>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</si>
  <si>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</si>
  <si>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</si>
  <si>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</si>
  <si>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</si>
  <si>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</si>
  <si>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</si>
  <si>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</si>
  <si>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</si>
  <si>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</si>
  <si>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</si>
  <si>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</si>
  <si>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</si>
  <si>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</si>
  <si>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</si>
  <si>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</si>
  <si>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</si>
  <si>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</si>
  <si>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</si>
  <si>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</si>
  <si>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</si>
  <si>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</si>
  <si>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</si>
  <si>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</si>
  <si>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</si>
  <si>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</si>
  <si>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</si>
  <si>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</si>
  <si>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</si>
  <si>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</si>
  <si>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</si>
  <si>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</si>
  <si>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</si>
  <si>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</si>
  <si>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</si>
  <si>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</si>
  <si>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</si>
  <si>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</si>
  <si>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</si>
  <si>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</si>
  <si>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</si>
  <si>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</si>
  <si>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</si>
  <si>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</si>
  <si>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</si>
  <si>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</si>
  <si>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</si>
  <si>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</si>
  <si>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</si>
  <si>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</si>
  <si>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</si>
  <si>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</si>
  <si>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</si>
  <si>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</si>
  <si>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</si>
  <si>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</si>
  <si>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</si>
  <si>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</si>
  <si>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</si>
  <si>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</si>
  <si>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</si>
  <si>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</si>
  <si>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</si>
  <si>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</si>
  <si>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</si>
  <si>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</si>
  <si>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</si>
  <si>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</si>
  <si>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</si>
  <si>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</si>
  <si>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</si>
  <si>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</si>
  <si>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</si>
  <si>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</si>
  <si>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</si>
  <si>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</si>
  <si>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</si>
  <si>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</si>
  <si>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</si>
  <si>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</si>
  <si>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</si>
  <si>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</si>
  <si>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</si>
  <si>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</si>
  <si>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</si>
  <si>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</si>
  <si>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</si>
  <si>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</si>
  <si>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</si>
  <si>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</si>
  <si>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</si>
  <si>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</si>
  <si>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</si>
  <si>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</si>
  <si>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</si>
  <si>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</si>
  <si>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</si>
  <si>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</si>
  <si>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</si>
  <si>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</si>
  <si>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</si>
  <si>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</si>
  <si>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</si>
  <si>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</si>
  <si>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</si>
  <si>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</si>
  <si>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</si>
  <si>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</si>
  <si>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</si>
  <si>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</si>
  <si>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</si>
  <si>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</si>
  <si>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</si>
  <si>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</si>
  <si>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</si>
  <si>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</si>
  <si>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</si>
  <si>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</si>
  <si>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</si>
  <si>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</si>
  <si>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</si>
  <si>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</si>
  <si>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</si>
  <si>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</si>
  <si>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</si>
  <si>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</si>
  <si>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</si>
  <si>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</si>
  <si>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</si>
  <si>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</si>
  <si>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</si>
  <si>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</si>
  <si>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</si>
  <si>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</si>
  <si>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</si>
  <si>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</si>
  <si>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</si>
  <si>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</si>
  <si>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</si>
  <si>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</si>
  <si>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</si>
  <si>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</si>
  <si>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</si>
  <si>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</si>
  <si>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</si>
  <si>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</si>
  <si>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</si>
  <si>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</si>
  <si>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</si>
  <si>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</si>
  <si>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</si>
  <si>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</si>
  <si>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</si>
  <si>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</si>
  <si>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</si>
  <si>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</si>
  <si>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</si>
  <si>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</si>
  <si>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</si>
  <si>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</si>
  <si>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</si>
  <si>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</si>
  <si>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</si>
  <si>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</si>
  <si>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</si>
  <si>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</si>
  <si>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</si>
  <si>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</si>
  <si>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</si>
  <si>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</si>
  <si>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</si>
  <si>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</si>
  <si>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</si>
  <si>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</si>
  <si>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</si>
  <si>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</si>
  <si>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</si>
  <si>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</si>
  <si>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</si>
  <si>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</si>
  <si>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</si>
  <si>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</si>
  <si>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</si>
  <si>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</si>
  <si>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</si>
  <si>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</si>
  <si>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</si>
  <si>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</si>
  <si>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</si>
  <si>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</si>
  <si>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</si>
  <si>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</si>
  <si>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</si>
  <si>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</si>
  <si>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</si>
  <si>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</si>
  <si>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</si>
  <si>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</si>
  <si>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</si>
  <si>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</si>
  <si>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</si>
  <si>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</si>
  <si>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</si>
  <si>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</si>
  <si>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</si>
  <si>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</si>
  <si>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</si>
  <si>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</si>
  <si>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</si>
  <si>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</si>
  <si>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</si>
  <si>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</si>
  <si>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</si>
  <si>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</si>
  <si>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</si>
  <si>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</si>
  <si>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</si>
  <si>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</si>
  <si>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</si>
  <si>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</si>
  <si>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</si>
  <si>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</si>
  <si>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</si>
  <si>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</si>
  <si>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</si>
  <si>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</si>
  <si>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</si>
  <si>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</si>
  <si>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</si>
  <si>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</si>
  <si>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</si>
  <si>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</si>
  <si>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</si>
  <si>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</si>
  <si>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</si>
  <si>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</si>
  <si>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</si>
  <si>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</si>
  <si>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</si>
  <si>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</si>
  <si>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</si>
  <si>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</si>
  <si>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</si>
  <si>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</si>
  <si>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</si>
  <si>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</si>
  <si>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</si>
  <si>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</si>
  <si>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</si>
  <si>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</si>
  <si>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</si>
  <si>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</si>
  <si>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</si>
  <si>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</si>
  <si>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</si>
  <si>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</si>
  <si>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</si>
  <si>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</si>
  <si>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</si>
  <si>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</si>
  <si>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</si>
  <si>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</si>
  <si>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</si>
  <si>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</si>
  <si>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</si>
  <si>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</si>
  <si>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</si>
  <si>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</si>
  <si>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</si>
  <si>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</si>
  <si>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</si>
  <si>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</si>
  <si>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</si>
  <si>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</si>
  <si>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</si>
  <si>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</si>
  <si>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</si>
  <si>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</si>
  <si>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</si>
  <si>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</si>
  <si>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</si>
  <si>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</si>
  <si>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</si>
  <si>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</si>
  <si>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</si>
  <si>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</si>
  <si>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</si>
  <si>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</si>
  <si>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</si>
  <si>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</si>
  <si>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</si>
  <si>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</si>
  <si>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</si>
  <si>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</si>
  <si>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</si>
  <si>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</si>
  <si>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</si>
  <si>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</si>
  <si>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</si>
  <si>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</si>
  <si>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</si>
  <si>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</si>
  <si>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</si>
  <si>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</si>
  <si>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</si>
  <si>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</si>
  <si>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</si>
  <si>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</si>
  <si>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</si>
  <si>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</si>
  <si>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</si>
  <si>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</si>
  <si>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</si>
  <si>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</si>
  <si>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</si>
  <si>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</si>
  <si>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</si>
  <si>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</si>
  <si>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</si>
  <si>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</si>
  <si>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</si>
  <si>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</si>
  <si>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</si>
  <si>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</si>
  <si>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</si>
  <si>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</si>
  <si>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</si>
  <si>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</si>
  <si>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</si>
  <si>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</si>
  <si>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</si>
  <si>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</si>
  <si>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</si>
  <si>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</si>
  <si>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</si>
  <si>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</si>
  <si>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</si>
  <si>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</si>
  <si>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</si>
  <si>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</si>
  <si>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</si>
  <si>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</si>
  <si>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</si>
  <si>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</si>
  <si>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</si>
  <si>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</si>
  <si>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</si>
  <si>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</si>
  <si>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</si>
  <si>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</si>
  <si>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</si>
  <si>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</si>
  <si>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</si>
  <si>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</si>
  <si>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</si>
  <si>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</si>
  <si>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</si>
  <si>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</si>
  <si>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</si>
  <si>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</si>
  <si>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</si>
  <si>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</si>
  <si>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</si>
  <si>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</si>
  <si>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</si>
  <si>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</si>
  <si>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</si>
  <si>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</si>
  <si>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</si>
  <si>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</si>
  <si>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</si>
  <si>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</si>
  <si>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</si>
  <si>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</si>
  <si>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</si>
  <si>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</si>
  <si>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</si>
  <si>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</si>
  <si>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</si>
  <si>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</si>
  <si>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</si>
  <si>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</si>
  <si>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</si>
  <si>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</si>
  <si>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</si>
  <si>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</si>
  <si>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</si>
  <si>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</si>
  <si>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</si>
  <si>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</si>
  <si>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</si>
  <si>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</si>
  <si>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</si>
  <si>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</si>
  <si>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</si>
  <si>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</si>
  <si>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</si>
  <si>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</si>
  <si>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</si>
  <si>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</si>
  <si>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</si>
  <si>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</si>
  <si>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</si>
  <si>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</si>
  <si>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</si>
  <si>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</si>
  <si>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</si>
  <si>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</si>
  <si>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</si>
  <si>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</si>
  <si>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</si>
  <si>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</si>
  <si>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</si>
  <si>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</si>
  <si>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</si>
  <si>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</si>
  <si>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</si>
  <si>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</si>
  <si>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</si>
  <si>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</si>
  <si>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</si>
  <si>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</si>
  <si>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</si>
  <si>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</si>
  <si>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</si>
  <si>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</si>
  <si>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</si>
  <si>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</si>
  <si>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</si>
  <si>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</si>
  <si>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</si>
  <si>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</si>
  <si>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</si>
  <si>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</si>
  <si>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</si>
  <si>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</si>
  <si>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</si>
  <si>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</si>
  <si>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</si>
  <si>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</si>
  <si>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</si>
  <si>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</si>
  <si>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</si>
  <si>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</si>
  <si>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</si>
  <si>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</si>
  <si>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</si>
  <si>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</si>
  <si>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</si>
  <si>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</si>
  <si>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</si>
  <si>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</si>
  <si>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</si>
  <si>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</si>
  <si>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</si>
  <si>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</si>
  <si>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</si>
  <si>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</si>
  <si>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</si>
  <si>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</si>
  <si>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</si>
  <si>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</si>
  <si>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</si>
  <si>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</si>
  <si>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</si>
  <si>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</si>
  <si>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</si>
  <si>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</si>
  <si>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</si>
  <si>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</si>
  <si>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</si>
  <si>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</si>
  <si>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</si>
  <si>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</si>
  <si>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</si>
  <si>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</si>
  <si>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</si>
  <si>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</si>
  <si>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</si>
  <si>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</si>
  <si>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</si>
  <si>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</si>
  <si>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</si>
  <si>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</si>
  <si>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</si>
  <si>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</si>
  <si>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</si>
  <si>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</si>
  <si>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</si>
  <si>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</si>
  <si>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</si>
  <si>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</si>
  <si>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</si>
  <si>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</si>
  <si>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</si>
  <si>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</si>
  <si>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</si>
  <si>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</si>
  <si>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</si>
  <si>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</si>
  <si>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</si>
  <si>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</si>
  <si>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</si>
  <si>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</si>
  <si>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</si>
  <si>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</si>
  <si>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</si>
  <si>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</si>
  <si>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</si>
  <si>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</si>
  <si>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</si>
  <si>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</si>
  <si>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</si>
  <si>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</si>
  <si>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</si>
  <si>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</si>
  <si>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</si>
  <si>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</si>
  <si>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</si>
  <si>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</si>
  <si>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</si>
  <si>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</si>
  <si>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</si>
  <si>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</si>
  <si>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</si>
  <si>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</si>
  <si>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</si>
  <si>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</si>
  <si>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</si>
  <si>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</si>
  <si>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</si>
  <si>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</si>
  <si>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</si>
  <si>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</si>
  <si>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</si>
  <si>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</si>
  <si>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</si>
  <si>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</si>
  <si>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</si>
  <si>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</si>
  <si>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</si>
  <si>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</si>
  <si>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</si>
  <si>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</si>
  <si>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</si>
  <si>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</si>
  <si>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</si>
  <si>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</si>
  <si>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</si>
  <si>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</si>
  <si>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</si>
  <si>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</si>
  <si>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</si>
  <si>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</si>
  <si>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</si>
  <si>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</si>
  <si>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</si>
  <si>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</si>
  <si>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</si>
  <si>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</si>
  <si>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</si>
  <si>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</si>
  <si>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</si>
  <si>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</si>
  <si>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</si>
  <si>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</si>
  <si>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</si>
  <si>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</si>
  <si>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</si>
  <si>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</si>
  <si>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</si>
  <si>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</si>
  <si>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</si>
  <si>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</si>
  <si>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</si>
  <si>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</si>
  <si>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</si>
  <si>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</si>
  <si>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</si>
  <si>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</si>
  <si>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</si>
  <si>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</si>
  <si>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</si>
  <si>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</si>
  <si>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</si>
  <si>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</si>
  <si>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</si>
  <si>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</si>
  <si>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</si>
  <si>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</si>
  <si>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</si>
  <si>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</si>
  <si>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</si>
  <si>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</si>
  <si>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</si>
  <si>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</si>
  <si>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</si>
  <si>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</si>
  <si>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</si>
  <si>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</si>
  <si>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</si>
  <si>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</si>
  <si>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</si>
  <si>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</si>
  <si>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</si>
  <si>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</si>
  <si>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</si>
  <si>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</si>
  <si>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</si>
  <si>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</si>
  <si>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</si>
  <si>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</si>
  <si>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</si>
  <si>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</si>
  <si>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</si>
  <si>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</si>
  <si>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</si>
  <si>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</si>
  <si>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</si>
  <si>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</si>
  <si>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</si>
  <si>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</si>
  <si>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</si>
  <si>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</si>
  <si>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</si>
  <si>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</si>
  <si>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</si>
  <si>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</si>
  <si>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</si>
  <si>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</si>
  <si>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</si>
  <si>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</si>
  <si>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</si>
  <si>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</si>
  <si>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</si>
  <si>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</si>
  <si>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</si>
  <si>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</si>
  <si>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</si>
  <si>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</si>
  <si>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</si>
  <si>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</si>
  <si>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</si>
  <si>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</si>
  <si>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</si>
  <si>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</si>
  <si>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</si>
  <si>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</si>
  <si>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</si>
  <si>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</si>
  <si>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</si>
  <si>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</si>
  <si>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</si>
  <si>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</si>
  <si>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</si>
  <si>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</si>
  <si>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</si>
  <si>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</si>
  <si>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</si>
  <si>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</si>
  <si>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</si>
  <si>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</si>
  <si>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</si>
  <si>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</si>
  <si>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</si>
  <si>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</si>
  <si>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</si>
  <si>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</si>
  <si>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</si>
  <si>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</si>
  <si>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</si>
  <si>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</si>
  <si>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</si>
  <si>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</si>
  <si>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</si>
  <si>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</si>
  <si>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</si>
  <si>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</si>
  <si>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</si>
  <si>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</si>
  <si>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</si>
  <si>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</si>
  <si>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</si>
  <si>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</si>
  <si>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</si>
  <si>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</si>
  <si>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</si>
  <si>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</si>
  <si>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</si>
  <si>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</si>
  <si>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</si>
  <si>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</si>
  <si>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</si>
  <si>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</si>
  <si>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</si>
  <si>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</si>
  <si>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</si>
  <si>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</si>
  <si>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</si>
  <si>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</si>
  <si>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</si>
  <si>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</si>
  <si>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</si>
  <si>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</si>
  <si>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</si>
  <si>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</si>
  <si>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</si>
  <si>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</si>
  <si>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</si>
  <si>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</si>
  <si>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</si>
  <si>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</si>
  <si>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</si>
  <si>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</si>
  <si>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</si>
  <si>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</si>
  <si>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</si>
  <si>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</si>
  <si>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</si>
  <si>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</si>
  <si>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</si>
  <si>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</si>
  <si>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</si>
  <si>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</si>
  <si>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</si>
  <si>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</si>
  <si>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</si>
  <si>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</si>
  <si>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</si>
  <si>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</si>
  <si>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</si>
  <si>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</si>
  <si>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</si>
  <si>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</si>
  <si>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</si>
  <si>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</si>
  <si>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</si>
  <si>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</si>
  <si>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</si>
  <si>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</si>
  <si>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</si>
  <si>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</si>
  <si>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</si>
  <si>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</si>
  <si>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</si>
  <si>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</si>
  <si>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</si>
  <si>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</si>
  <si>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</si>
  <si>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</si>
  <si>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</si>
  <si>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</si>
  <si>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</si>
  <si>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</si>
  <si>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</si>
  <si>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</si>
  <si>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</si>
  <si>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</si>
  <si>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</si>
  <si>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</si>
  <si>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</si>
  <si>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</si>
  <si>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</si>
  <si>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</si>
  <si>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</si>
  <si>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</si>
  <si>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</si>
  <si>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</si>
  <si>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</si>
  <si>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</si>
  <si>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</si>
  <si>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</si>
  <si>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</si>
  <si>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</si>
  <si>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</si>
  <si>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</si>
  <si>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</si>
  <si>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</si>
  <si>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</si>
  <si>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</si>
  <si>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</si>
  <si>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</si>
  <si>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</si>
  <si>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</si>
  <si>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</si>
  <si>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</si>
  <si>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</si>
  <si>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</si>
  <si>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</si>
  <si>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</si>
  <si>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</si>
  <si>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</si>
  <si>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</si>
  <si>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</si>
  <si>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</si>
  <si>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</si>
  <si>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</si>
  <si>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</si>
  <si>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</si>
  <si>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</si>
  <si>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</si>
  <si>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</si>
  <si>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</si>
  <si>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</si>
  <si>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</si>
  <si>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</si>
  <si>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</si>
  <si>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</si>
  <si>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</si>
  <si>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</si>
  <si>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</si>
  <si>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</si>
  <si>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</si>
  <si>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</si>
  <si>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</si>
  <si>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</si>
  <si>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</si>
  <si>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</si>
  <si>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</si>
  <si>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</si>
  <si>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</si>
  <si>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</si>
  <si>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</si>
  <si>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</si>
  <si>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</si>
  <si>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</si>
  <si>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</si>
  <si>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</si>
  <si>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</si>
  <si>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</si>
  <si>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</si>
  <si>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</si>
  <si>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</si>
  <si>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</si>
  <si>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</si>
  <si>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</si>
  <si>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</si>
  <si>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</si>
  <si>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</si>
  <si>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</si>
  <si>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</si>
  <si>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</si>
  <si>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</si>
  <si>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</si>
  <si>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</si>
  <si>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</si>
  <si>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</si>
  <si>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</si>
  <si>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</si>
  <si>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</si>
  <si>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</si>
  <si>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</si>
  <si>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</si>
  <si>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</si>
  <si>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</si>
  <si>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</si>
  <si>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</si>
  <si>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</si>
  <si>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</si>
  <si>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</si>
  <si>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</si>
  <si>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</si>
  <si>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</si>
  <si>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</si>
  <si>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</si>
  <si>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</si>
  <si>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</si>
  <si>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</si>
  <si>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</si>
  <si>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</si>
  <si>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</si>
  <si>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</si>
  <si>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</si>
  <si>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</si>
  <si>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</si>
  <si>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</si>
  <si>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</si>
  <si>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</si>
  <si>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</si>
  <si>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</si>
  <si>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</si>
  <si>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</si>
  <si>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</si>
  <si>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</si>
  <si>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</si>
  <si>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</si>
  <si>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</si>
  <si>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</si>
  <si>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</si>
  <si>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</si>
  <si>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</si>
  <si>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</si>
  <si>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</si>
  <si>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</si>
  <si>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</si>
  <si>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</si>
  <si>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</si>
  <si>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</si>
  <si>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</si>
  <si>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</si>
  <si>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</si>
  <si>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</si>
  <si>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</si>
  <si>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</si>
  <si>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</si>
  <si>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</si>
  <si>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</si>
  <si>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</si>
  <si>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</si>
  <si>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</si>
  <si>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</si>
  <si>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</si>
  <si>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</si>
  <si>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</si>
  <si>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</si>
  <si>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</si>
  <si>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</si>
  <si>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</si>
  <si>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</si>
  <si>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</si>
  <si>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</si>
  <si>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</si>
  <si>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</si>
  <si>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</si>
  <si>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</si>
  <si>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</si>
  <si>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</si>
  <si>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</si>
  <si>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</si>
  <si>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</si>
  <si>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</si>
  <si>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</si>
  <si>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</si>
  <si>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</si>
  <si>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</si>
  <si>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</si>
  <si>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</si>
  <si>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</si>
  <si>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</si>
  <si>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</si>
  <si>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</si>
  <si>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</si>
  <si>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</si>
  <si>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</si>
  <si>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</si>
  <si>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</si>
  <si>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</si>
  <si>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</si>
  <si>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</si>
  <si>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</si>
  <si>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</si>
  <si>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</si>
  <si>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</si>
  <si>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</si>
  <si>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</si>
  <si>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</si>
  <si>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</si>
  <si>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</si>
  <si>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</si>
  <si>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</si>
  <si>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</si>
  <si>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</si>
  <si>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</si>
  <si>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</si>
  <si>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</si>
  <si>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</si>
  <si>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</si>
  <si>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</si>
  <si>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</si>
  <si>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</si>
  <si>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</si>
  <si>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</si>
  <si>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</si>
  <si>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</si>
  <si>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</si>
  <si>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</si>
  <si>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</si>
  <si>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</si>
  <si>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</si>
  <si>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</si>
  <si>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</si>
  <si>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</si>
  <si>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</si>
  <si>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</si>
  <si>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</si>
  <si>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</si>
  <si>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</si>
  <si>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</si>
  <si>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</si>
  <si>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</si>
  <si>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</si>
  <si>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</si>
  <si>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</si>
  <si>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</si>
  <si>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</si>
  <si>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</si>
  <si>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</si>
  <si>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</si>
  <si>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</si>
  <si>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</si>
  <si>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</si>
  <si>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</si>
  <si>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</si>
  <si>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</si>
  <si>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</si>
  <si>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</si>
  <si>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</si>
  <si>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</si>
  <si>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</si>
  <si>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</si>
  <si>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</si>
  <si>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</si>
  <si>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</si>
  <si>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</si>
  <si>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</si>
  <si>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</si>
  <si>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</si>
  <si>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</si>
  <si>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</si>
  <si>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</si>
  <si>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</si>
  <si>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</si>
  <si>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</si>
  <si>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</si>
  <si>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</si>
  <si>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</si>
  <si>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</si>
  <si>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</si>
  <si>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</si>
  <si>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</si>
  <si>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</si>
  <si>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</si>
  <si>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</si>
  <si>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</si>
  <si>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</si>
  <si>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</si>
  <si>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</si>
  <si>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</si>
  <si>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</si>
  <si>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</si>
  <si>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</si>
  <si>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</si>
  <si>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</si>
  <si>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</si>
  <si>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</si>
  <si>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</si>
  <si>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</si>
  <si>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</si>
  <si>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</si>
  <si>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</si>
  <si>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</si>
  <si>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</si>
  <si>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</si>
  <si>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</si>
  <si>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</si>
  <si>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</si>
  <si>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</si>
  <si>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</si>
  <si>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</si>
  <si>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</si>
  <si>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</si>
  <si>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</si>
  <si>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</si>
  <si>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</si>
  <si>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</si>
  <si>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</si>
  <si>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</si>
  <si>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</si>
  <si>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</si>
  <si>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</si>
  <si>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</si>
  <si>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</si>
  <si>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</si>
  <si>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</si>
  <si>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</si>
  <si>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</si>
  <si>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</si>
  <si>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</si>
  <si>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</si>
  <si>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</si>
  <si>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</si>
  <si>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</si>
  <si>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</si>
  <si>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</si>
  <si>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</si>
  <si>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</si>
  <si>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</si>
  <si>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</si>
  <si>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</si>
  <si>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</si>
  <si>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</si>
  <si>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</si>
  <si>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</si>
  <si>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</si>
  <si>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</si>
  <si>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</si>
  <si>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</si>
  <si>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</si>
  <si>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</si>
  <si>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</si>
  <si>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</si>
  <si>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</si>
  <si>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</si>
  <si>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</si>
  <si>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</si>
  <si>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</si>
  <si>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</si>
  <si>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</si>
  <si>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</si>
  <si>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</si>
  <si>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</si>
  <si>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</si>
  <si>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</si>
  <si>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</si>
  <si>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</si>
  <si>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</si>
  <si>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</si>
  <si>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</si>
  <si>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</si>
  <si>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</si>
  <si>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</si>
  <si>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</si>
  <si>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</si>
  <si>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</si>
  <si>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</si>
  <si>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</si>
  <si>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</si>
  <si>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</si>
  <si>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</si>
  <si>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</si>
  <si>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</si>
  <si>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</si>
  <si>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</si>
  <si>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</si>
  <si>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</si>
  <si>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</si>
  <si>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</si>
  <si>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</si>
  <si>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</si>
  <si>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</si>
  <si>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</si>
  <si>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</si>
  <si>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</si>
  <si>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</si>
  <si>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</si>
  <si>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</si>
  <si>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</si>
  <si>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</si>
  <si>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</si>
  <si>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</si>
  <si>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</si>
  <si>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</si>
  <si>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</si>
  <si>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</si>
  <si>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</si>
  <si>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</si>
  <si>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</si>
  <si>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</si>
  <si>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</si>
  <si>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</si>
  <si>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</si>
  <si>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</si>
  <si>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</si>
  <si>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</si>
  <si>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</si>
  <si>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</si>
  <si>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</si>
  <si>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</si>
  <si>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</si>
  <si>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</si>
  <si>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</si>
  <si>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</si>
  <si>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</si>
  <si>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</si>
  <si>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</si>
  <si>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</si>
  <si>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</si>
  <si>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</si>
  <si>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</si>
  <si>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</si>
  <si>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</si>
  <si>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</si>
  <si>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</si>
  <si>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</si>
  <si>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</si>
  <si>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</si>
  <si>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</si>
  <si>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</si>
  <si>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</si>
  <si>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</si>
  <si>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</si>
  <si>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</si>
  <si>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</si>
  <si>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</si>
  <si>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</si>
  <si>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</si>
  <si>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</si>
  <si>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</si>
  <si>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</si>
  <si>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</si>
  <si>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</si>
  <si>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</si>
  <si>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</si>
  <si>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</si>
  <si>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</si>
  <si>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</si>
  <si>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</si>
  <si>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</si>
  <si>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</si>
  <si>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</si>
  <si>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</si>
  <si>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</si>
  <si>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</si>
  <si>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</si>
  <si>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</si>
  <si>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</si>
  <si>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</si>
  <si>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</si>
  <si>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</si>
  <si>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</si>
  <si>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</si>
  <si>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</si>
  <si>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</si>
  <si>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</si>
  <si>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</si>
  <si>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</si>
  <si>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</si>
  <si>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</si>
  <si>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</si>
  <si>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</si>
  <si>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</si>
  <si>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</si>
  <si>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</si>
  <si>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</si>
  <si>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</si>
  <si>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</si>
  <si>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</si>
  <si>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</si>
  <si>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</si>
  <si>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</si>
  <si>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</si>
  <si>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</si>
  <si>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</si>
  <si>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</si>
  <si>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</si>
  <si>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</si>
  <si>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</si>
  <si>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</si>
  <si>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</si>
  <si>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</si>
  <si>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</si>
  <si>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</si>
  <si>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</si>
  <si>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</si>
  <si>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</si>
  <si>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</si>
  <si>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</si>
  <si>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</si>
  <si>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</si>
  <si>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</si>
  <si>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</si>
  <si>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</si>
  <si>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</si>
  <si>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</si>
  <si>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</si>
  <si>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</si>
  <si>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</si>
  <si>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</si>
  <si>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</si>
  <si>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</si>
  <si>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</si>
  <si>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</si>
  <si>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</si>
  <si>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</si>
  <si>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</si>
  <si>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</si>
  <si>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</si>
  <si>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</si>
  <si>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</si>
  <si>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</si>
  <si>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</si>
  <si>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</si>
  <si>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</si>
  <si>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</si>
  <si>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</si>
  <si>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</si>
  <si>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</si>
  <si>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</si>
  <si>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</si>
  <si>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</si>
  <si>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</si>
  <si>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</si>
  <si>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</si>
  <si>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</si>
  <si>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</si>
  <si>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</si>
  <si>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</si>
  <si>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</si>
  <si>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</si>
  <si>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</si>
  <si>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</si>
  <si>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</si>
  <si>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</si>
  <si>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</si>
  <si>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</si>
  <si>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</si>
  <si>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</si>
  <si>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</si>
  <si>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</si>
  <si>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</si>
  <si>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</si>
  <si>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</si>
  <si>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</si>
  <si>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</si>
  <si>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</si>
  <si>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</si>
  <si>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</si>
  <si>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</si>
  <si>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</si>
  <si>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</si>
  <si>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</si>
  <si>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</si>
  <si>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</si>
  <si>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</si>
  <si>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</si>
  <si>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</si>
  <si>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</si>
  <si>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</si>
  <si>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</si>
  <si>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</si>
  <si>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</si>
  <si>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</si>
  <si>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</si>
  <si>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</si>
  <si>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</si>
  <si>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</si>
  <si>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</si>
  <si>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</si>
  <si>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</si>
  <si>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</si>
  <si>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</si>
  <si>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</si>
  <si>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</si>
  <si>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</si>
  <si>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</si>
  <si>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</si>
  <si>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</si>
  <si>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</si>
  <si>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</si>
  <si>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</si>
  <si>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</si>
  <si>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</si>
  <si>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</si>
  <si>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</si>
  <si>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</si>
  <si>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</si>
  <si>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</si>
  <si>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</si>
  <si>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</si>
  <si>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</si>
  <si>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</si>
  <si>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</si>
  <si>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</si>
  <si>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</si>
  <si>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</si>
  <si>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</si>
  <si>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</si>
  <si>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</si>
  <si>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</si>
  <si>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</si>
  <si>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</si>
  <si>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</si>
  <si>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</si>
  <si>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</si>
  <si>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</si>
  <si>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</si>
  <si>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</si>
  <si>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</si>
  <si>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</si>
  <si>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</si>
  <si>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</si>
  <si>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</si>
  <si>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</si>
  <si>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</si>
  <si>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</si>
  <si>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</si>
  <si>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</si>
  <si>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</si>
  <si>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</si>
  <si>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</si>
  <si>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</si>
  <si>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</si>
  <si>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</si>
  <si>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</si>
  <si>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</si>
  <si>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</si>
  <si>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</si>
  <si>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</si>
  <si>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</si>
  <si>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</si>
  <si>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</si>
  <si>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</si>
  <si>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</si>
  <si>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</si>
  <si>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</si>
  <si>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</si>
  <si>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</si>
  <si>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</si>
  <si>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</si>
  <si>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</si>
  <si>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</si>
  <si>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</si>
  <si>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</si>
  <si>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</si>
  <si>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</si>
  <si>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</si>
  <si>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</si>
  <si>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</si>
  <si>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</si>
  <si>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</si>
  <si>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</si>
  <si>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</si>
  <si>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</si>
  <si>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</si>
  <si>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</si>
  <si>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</si>
  <si>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</si>
  <si>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</si>
  <si>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</si>
  <si>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</si>
  <si>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</si>
  <si>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</si>
  <si>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</si>
  <si>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</si>
  <si>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</si>
  <si>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</si>
  <si>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</si>
  <si>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</si>
  <si>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</si>
  <si>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</si>
  <si>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</si>
  <si>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</si>
  <si>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</si>
  <si>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</si>
  <si>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</si>
  <si>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</si>
  <si>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</si>
  <si>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</si>
  <si>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</si>
  <si>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</si>
  <si>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</si>
  <si>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</si>
  <si>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</si>
  <si>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</si>
  <si>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</si>
  <si>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</si>
  <si>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</si>
  <si>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</si>
  <si>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</si>
  <si>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</si>
  <si>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</si>
  <si>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</si>
  <si>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</si>
  <si>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</si>
  <si>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</si>
  <si>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</si>
  <si>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</si>
  <si>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</si>
  <si>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</si>
  <si>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</si>
  <si>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</si>
  <si>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</si>
  <si>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</si>
  <si>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</si>
  <si>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</si>
  <si>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</si>
  <si>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</si>
  <si>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</si>
  <si>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</si>
  <si>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</si>
  <si>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</si>
  <si>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</si>
  <si>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</si>
  <si>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</si>
  <si>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</si>
  <si>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</si>
  <si>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</si>
  <si>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</si>
  <si>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</si>
  <si>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</si>
  <si>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</si>
  <si>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</si>
  <si>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</si>
  <si>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</si>
  <si>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</si>
  <si>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</si>
  <si>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</si>
  <si>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</si>
  <si>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</si>
  <si>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</si>
  <si>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</si>
  <si>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</si>
  <si>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</si>
  <si>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</si>
  <si>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</si>
  <si>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</si>
  <si>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</si>
  <si>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</si>
  <si>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</si>
  <si>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</si>
  <si>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</si>
  <si>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</si>
  <si>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</si>
  <si>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</si>
  <si>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</si>
  <si>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</si>
  <si>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</si>
  <si>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</si>
  <si>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</si>
  <si>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</si>
  <si>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</si>
  <si>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</si>
  <si>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</si>
  <si>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</si>
  <si>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</si>
  <si>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</si>
  <si>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</si>
  <si>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</si>
  <si>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</si>
  <si>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</si>
  <si>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</si>
  <si>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</si>
  <si>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</si>
  <si>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</si>
  <si>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</si>
  <si>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</si>
  <si>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</si>
  <si>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</si>
  <si>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</si>
  <si>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</si>
  <si>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</si>
  <si>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</si>
  <si>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</si>
  <si>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</si>
  <si>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</si>
  <si>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</si>
  <si>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</si>
  <si>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</si>
  <si>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</si>
  <si>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</si>
  <si>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</si>
  <si>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</si>
  <si>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</si>
  <si>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</si>
  <si>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</si>
  <si>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</si>
  <si>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</si>
  <si>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</si>
  <si>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</si>
  <si>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</si>
  <si>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</si>
  <si>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</si>
  <si>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</si>
  <si>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</si>
  <si>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</si>
  <si>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</si>
  <si>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</si>
  <si>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</si>
  <si>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</si>
  <si>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</si>
  <si>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</si>
  <si>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</si>
  <si>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</si>
  <si>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</si>
  <si>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</si>
  <si>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</si>
  <si>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</si>
  <si>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</si>
  <si>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</si>
  <si>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</si>
  <si>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</si>
  <si>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</si>
  <si>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</si>
  <si>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</si>
  <si>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</si>
  <si>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</si>
  <si>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</si>
  <si>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</si>
  <si>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</si>
  <si>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</si>
  <si>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</si>
  <si>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</si>
  <si>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</si>
  <si>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</si>
  <si>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</si>
  <si>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</si>
  <si>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</si>
  <si>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</si>
  <si>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</si>
  <si>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</si>
  <si>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</si>
  <si>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</si>
  <si>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</si>
  <si>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</si>
  <si>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</si>
  <si>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</si>
  <si>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</si>
  <si>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</si>
  <si>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</si>
  <si>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</si>
  <si>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</si>
  <si>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</si>
  <si>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</si>
  <si>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</si>
  <si>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</si>
  <si>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</si>
  <si>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</si>
  <si>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</si>
  <si>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</si>
  <si>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</si>
  <si>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</si>
  <si>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</si>
  <si>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</si>
  <si>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</si>
  <si>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</si>
  <si>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</si>
  <si>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</si>
  <si>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</si>
  <si>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</si>
  <si>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</si>
  <si>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</si>
  <si>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</si>
  <si>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</si>
  <si>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</si>
  <si>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</si>
  <si>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</si>
  <si>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</si>
  <si>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</si>
  <si>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</si>
  <si>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</si>
  <si>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</si>
  <si>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</si>
  <si>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</si>
  <si>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</si>
  <si>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</si>
  <si>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</si>
  <si>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</si>
  <si>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</si>
  <si>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</si>
  <si>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</si>
  <si>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</si>
  <si>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</si>
  <si>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</si>
  <si>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</si>
  <si>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</si>
  <si>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</si>
  <si>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</si>
  <si>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</si>
  <si>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</si>
  <si>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</si>
  <si>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</si>
  <si>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</si>
  <si>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</si>
  <si>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</si>
  <si>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</si>
  <si>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</si>
  <si>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</si>
  <si>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</si>
  <si>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</si>
  <si>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</si>
  <si>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</si>
  <si>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</si>
  <si>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</si>
  <si>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</si>
  <si>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</si>
  <si>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</si>
  <si>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</si>
  <si>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</si>
  <si>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</si>
  <si>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</si>
  <si>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</si>
  <si>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</si>
  <si>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</si>
  <si>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</si>
  <si>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</si>
  <si>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</si>
  <si>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</si>
  <si>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</si>
  <si>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</si>
  <si>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</si>
  <si>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</si>
  <si>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</si>
  <si>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</si>
  <si>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</si>
  <si>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</si>
  <si>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</si>
  <si>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</si>
  <si>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</si>
  <si>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</si>
  <si>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</si>
  <si>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</si>
  <si>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</si>
  <si>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</si>
  <si>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</si>
  <si>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</si>
  <si>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</si>
  <si>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</si>
  <si>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</si>
  <si>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</si>
  <si>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</si>
  <si>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</si>
  <si>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</si>
  <si>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</si>
  <si>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</si>
  <si>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</si>
  <si>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</si>
  <si>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</si>
  <si>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</si>
  <si>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</si>
  <si>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</si>
  <si>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</si>
  <si>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</si>
  <si>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</si>
  <si>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</si>
  <si>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</si>
  <si>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</si>
  <si>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</si>
  <si>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</si>
  <si>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</si>
  <si>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</si>
  <si>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</si>
  <si>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</si>
  <si>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</si>
  <si>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</si>
  <si>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</si>
  <si>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</si>
  <si>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</si>
  <si>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</si>
  <si>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</si>
  <si>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</si>
  <si>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</si>
  <si>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</si>
  <si>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</si>
  <si>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</si>
  <si>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</si>
  <si>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</si>
  <si>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</si>
  <si>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</si>
  <si>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</si>
  <si>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</si>
  <si>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</si>
  <si>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</si>
  <si>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</si>
  <si>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</si>
  <si>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</si>
  <si>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</si>
  <si>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</si>
  <si>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</si>
  <si>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</si>
  <si>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</si>
  <si>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</si>
  <si>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</si>
  <si>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</si>
  <si>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</si>
  <si>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</si>
  <si>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</si>
  <si>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</si>
  <si>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</si>
  <si>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</si>
  <si>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</si>
  <si>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</si>
  <si>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</si>
  <si>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</si>
  <si>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</si>
  <si>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</si>
  <si>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</si>
  <si>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</si>
  <si>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</si>
  <si>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</si>
  <si>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</si>
  <si>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</si>
  <si>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</si>
  <si>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</si>
  <si>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</si>
  <si>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</si>
  <si>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</si>
  <si>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</si>
  <si>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</si>
  <si>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</si>
  <si>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</si>
  <si>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</si>
  <si>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</si>
  <si>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</si>
  <si>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</si>
  <si>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</si>
  <si>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</si>
  <si>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</si>
  <si>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</si>
  <si>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</si>
  <si>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</si>
  <si>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</si>
  <si>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</si>
  <si>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</si>
  <si>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</si>
  <si>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</si>
  <si>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</si>
  <si>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</si>
  <si>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</si>
  <si>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</si>
  <si>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</si>
  <si>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</si>
  <si>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</si>
  <si>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</si>
  <si>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</si>
  <si>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</si>
  <si>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</si>
  <si>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</si>
  <si>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</si>
  <si>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</si>
  <si>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</si>
  <si>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</si>
  <si>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</si>
  <si>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</si>
  <si>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</si>
  <si>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</si>
  <si>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</si>
  <si>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</si>
  <si>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</si>
  <si>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</si>
  <si>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</si>
  <si>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</si>
  <si>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</si>
  <si>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</si>
  <si>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</si>
  <si>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</si>
  <si>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</si>
  <si>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</si>
  <si>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</si>
  <si>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</si>
  <si>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</si>
  <si>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</si>
  <si>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</si>
  <si>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</si>
  <si>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</si>
  <si>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</si>
  <si>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</si>
  <si>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</si>
  <si>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</si>
  <si>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</si>
  <si>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</si>
  <si>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</si>
  <si>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</si>
  <si>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</si>
  <si>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</si>
  <si>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</si>
  <si>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</si>
  <si>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</si>
  <si>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</si>
  <si>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</si>
  <si>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</si>
  <si>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</si>
  <si>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</si>
  <si>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</si>
  <si>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</si>
  <si>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</si>
  <si>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</si>
  <si>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</si>
  <si>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</si>
  <si>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</si>
  <si>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</si>
  <si>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</si>
  <si>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</si>
  <si>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</si>
  <si>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</si>
  <si>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</si>
  <si>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</si>
  <si>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</si>
  <si>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</si>
  <si>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</si>
  <si>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</si>
  <si>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</si>
  <si>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</si>
  <si>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</si>
  <si>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</si>
  <si>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</si>
  <si>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</si>
  <si>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</si>
  <si>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</si>
  <si>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</si>
  <si>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</si>
  <si>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</si>
  <si>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</si>
  <si>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</si>
  <si>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</si>
  <si>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</si>
  <si>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</si>
  <si>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</si>
  <si>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</si>
  <si>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</si>
  <si>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</si>
  <si>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</si>
  <si>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</si>
  <si>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</si>
  <si>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</si>
  <si>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</si>
  <si>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</si>
  <si>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</si>
  <si>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</si>
  <si>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</si>
  <si>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</si>
  <si>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</si>
  <si>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</si>
  <si>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</si>
  <si>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</si>
  <si>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</si>
  <si>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</si>
  <si>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</si>
  <si>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</si>
  <si>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</si>
  <si>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</si>
  <si>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</si>
  <si>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</si>
  <si>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</si>
  <si>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</si>
  <si>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</si>
  <si>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</si>
  <si>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</si>
  <si>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</si>
  <si>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</si>
  <si>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</si>
  <si>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</si>
  <si>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</si>
  <si>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</si>
  <si>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</si>
  <si>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</si>
  <si>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</si>
  <si>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</si>
  <si>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</si>
  <si>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</si>
  <si>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</si>
  <si>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</si>
  <si>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</si>
  <si>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</si>
  <si>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</si>
  <si>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</si>
  <si>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</si>
  <si>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</si>
  <si>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</si>
  <si>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</si>
  <si>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</si>
  <si>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</si>
  <si>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</si>
  <si>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</si>
  <si>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</si>
  <si>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</si>
  <si>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</si>
  <si>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</si>
  <si>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</si>
  <si>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</si>
  <si>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</si>
  <si>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</si>
  <si>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</si>
  <si>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</si>
  <si>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</si>
  <si>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</si>
  <si>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</si>
  <si>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</si>
  <si>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</si>
  <si>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</si>
  <si>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</si>
  <si>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</si>
  <si>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</si>
  <si>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</si>
  <si>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</si>
  <si>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</si>
  <si>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</si>
  <si>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</si>
  <si>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</si>
  <si>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</si>
  <si>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</si>
  <si>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</si>
  <si>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</si>
  <si>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</si>
  <si>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</si>
  <si>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</si>
  <si>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</si>
  <si>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</si>
  <si>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</si>
  <si>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</si>
  <si>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</si>
  <si>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</si>
  <si>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</si>
  <si>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</si>
  <si>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</si>
  <si>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</si>
  <si>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</si>
  <si>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</si>
  <si>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</si>
  <si>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</si>
  <si>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</si>
  <si>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</si>
  <si>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</si>
  <si>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</si>
  <si>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</si>
  <si>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</si>
  <si>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</si>
  <si>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</si>
  <si>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</si>
  <si>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</si>
  <si>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</si>
  <si>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</si>
  <si>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</si>
  <si>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</si>
  <si>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</si>
  <si>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</si>
  <si>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</si>
  <si>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</si>
  <si>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</si>
  <si>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</si>
  <si>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</si>
  <si>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</si>
  <si>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</si>
  <si>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</si>
  <si>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</si>
  <si>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</si>
  <si>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</si>
  <si>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</si>
  <si>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</si>
  <si>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</si>
  <si>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</si>
  <si>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</si>
  <si>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</si>
  <si>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</si>
  <si>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</si>
  <si>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</si>
  <si>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</si>
  <si>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</si>
  <si>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</si>
  <si>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</si>
  <si>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</si>
  <si>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</si>
  <si>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</si>
  <si>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</si>
  <si>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</si>
  <si>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</si>
  <si>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</si>
  <si>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</si>
  <si>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</si>
  <si>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</si>
  <si>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</si>
  <si>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</si>
  <si>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</si>
  <si>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</si>
  <si>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</si>
  <si>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</si>
  <si>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</si>
  <si>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</si>
  <si>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</si>
  <si>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</si>
  <si>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</si>
  <si>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</si>
  <si>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</si>
  <si>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</si>
  <si>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</si>
  <si>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</si>
  <si>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</si>
  <si>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</si>
  <si>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</si>
  <si>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</si>
  <si>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</si>
  <si>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</si>
  <si>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</si>
  <si>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</si>
  <si>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</si>
  <si>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</si>
  <si>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</si>
  <si>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</si>
  <si>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</si>
  <si>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</si>
  <si>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</si>
  <si>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</si>
  <si>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</si>
  <si>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</si>
  <si>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</si>
  <si>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</si>
  <si>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</si>
  <si>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</si>
  <si>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</si>
  <si>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</si>
  <si>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</si>
  <si>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</si>
  <si>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</si>
  <si>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</si>
  <si>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</si>
  <si>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</si>
  <si>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</si>
  <si>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</si>
  <si>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</si>
  <si>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</si>
  <si>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</si>
  <si>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</si>
  <si>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</si>
  <si>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</si>
  <si>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</si>
  <si>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</si>
  <si>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</si>
  <si>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</si>
  <si>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</si>
  <si>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</si>
  <si>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</si>
  <si>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</si>
  <si>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</si>
  <si>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</si>
  <si>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</si>
  <si>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</si>
  <si>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</si>
  <si>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</si>
  <si>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</si>
  <si>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</si>
  <si>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</si>
  <si>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</si>
  <si>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</si>
  <si>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</si>
  <si>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</si>
  <si>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</si>
  <si>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</si>
  <si>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</si>
  <si>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</si>
  <si>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</si>
  <si>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</si>
  <si>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</si>
  <si>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</si>
  <si>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</si>
  <si>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</si>
  <si>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</si>
  <si>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</si>
  <si>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</si>
  <si>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</si>
  <si>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</si>
  <si>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</si>
  <si>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</si>
  <si>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</si>
  <si>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</si>
  <si>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</si>
  <si>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</si>
  <si>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</si>
  <si>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</si>
  <si>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</si>
  <si>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</si>
  <si>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</si>
  <si>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</si>
  <si>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</si>
  <si>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</si>
  <si>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</si>
  <si>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</si>
  <si>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</si>
  <si>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</si>
  <si>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</si>
  <si>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</si>
  <si>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</si>
  <si>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</si>
  <si>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</si>
  <si>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</si>
  <si>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</si>
  <si>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</si>
  <si>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</si>
  <si>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</si>
  <si>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</si>
  <si>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</si>
  <si>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</si>
  <si>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</si>
  <si>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</si>
  <si>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</si>
  <si>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</si>
  <si>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</si>
  <si>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</si>
  <si>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</si>
  <si>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</si>
  <si>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</si>
  <si>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</si>
  <si>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</si>
  <si>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</si>
  <si>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</si>
  <si>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</si>
  <si>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</si>
  <si>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</si>
  <si>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</si>
  <si>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</si>
  <si>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</si>
  <si>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</si>
  <si>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</si>
  <si>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</si>
  <si>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</si>
  <si>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</si>
  <si>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</si>
  <si>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</si>
  <si>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</si>
  <si>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</si>
  <si>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</si>
  <si>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</si>
  <si>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</si>
  <si>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</si>
  <si>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</si>
  <si>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</si>
  <si>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</si>
  <si>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</si>
  <si>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</si>
  <si>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</si>
  <si>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</si>
  <si>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</si>
  <si>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</si>
  <si>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</si>
  <si>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</si>
  <si>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</si>
  <si>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</si>
  <si>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</si>
  <si>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</si>
  <si>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</si>
  <si>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</si>
  <si>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</si>
  <si>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</si>
  <si>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</si>
  <si>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</si>
  <si>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</si>
  <si>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</si>
  <si>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</si>
  <si>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</si>
  <si>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</si>
  <si>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</si>
  <si>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</si>
  <si>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</si>
  <si>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</si>
  <si>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</si>
  <si>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</si>
  <si>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</si>
  <si>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</si>
  <si>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</si>
  <si>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</si>
  <si>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</si>
  <si>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</si>
  <si>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</si>
  <si>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</si>
  <si>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</si>
  <si>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</si>
  <si>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</si>
  <si>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</si>
  <si>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</si>
  <si>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</si>
  <si>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</si>
  <si>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</si>
  <si>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</si>
  <si>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</si>
  <si>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</si>
  <si>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</si>
  <si>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</si>
  <si>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</si>
  <si>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</si>
  <si>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</si>
  <si>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</si>
  <si>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</si>
  <si>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</si>
  <si>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</si>
  <si>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</si>
  <si>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</si>
  <si>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</si>
  <si>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</si>
  <si>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</si>
  <si>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</si>
  <si>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</si>
  <si>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</si>
  <si>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</si>
  <si>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</si>
  <si>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</si>
  <si>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</si>
  <si>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</si>
  <si>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</si>
  <si>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</si>
  <si>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</si>
  <si>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</si>
  <si>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</si>
  <si>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</si>
  <si>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</si>
  <si>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</si>
  <si>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</si>
  <si>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</si>
  <si>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</si>
  <si>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</si>
  <si>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</si>
  <si>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</si>
  <si>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</si>
  <si>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</si>
  <si>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</si>
  <si>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</si>
  <si>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</si>
  <si>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</si>
  <si>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</si>
  <si>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</si>
  <si>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</si>
  <si>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</si>
  <si>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</si>
  <si>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</si>
  <si>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</si>
  <si>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</si>
  <si>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</si>
  <si>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</si>
  <si>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</si>
  <si>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</si>
  <si>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</si>
  <si>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</si>
  <si>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</si>
  <si>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</si>
  <si>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</si>
  <si>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</si>
  <si>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</si>
  <si>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</si>
  <si>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</si>
  <si>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</si>
  <si>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</si>
  <si>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</si>
  <si>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</si>
  <si>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</si>
  <si>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</si>
  <si>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</si>
  <si>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</si>
  <si>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</si>
  <si>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</si>
  <si>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</si>
  <si>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</si>
  <si>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</si>
  <si>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</si>
  <si>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</si>
  <si>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</si>
  <si>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</si>
  <si>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</si>
  <si>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</si>
  <si>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</si>
  <si>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</si>
  <si>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</si>
  <si>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</si>
  <si>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</si>
  <si>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</si>
  <si>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</si>
  <si>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</si>
  <si>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</si>
  <si>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</si>
  <si>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</si>
  <si>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</si>
  <si>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</si>
  <si>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</si>
  <si>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</si>
  <si>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</si>
  <si>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</si>
  <si>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</si>
  <si>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</si>
  <si>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</si>
  <si>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</si>
  <si>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</si>
  <si>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</si>
  <si>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</si>
  <si>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</si>
  <si>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</si>
  <si>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</si>
  <si>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</si>
  <si>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</si>
  <si>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</si>
  <si>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</si>
  <si>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</si>
  <si>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</si>
  <si>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</si>
  <si>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</si>
  <si>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</si>
  <si>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</si>
  <si>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</si>
  <si>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</si>
  <si>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</si>
  <si>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</si>
  <si>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</si>
  <si>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</si>
  <si>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</si>
  <si>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</si>
  <si>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</si>
  <si>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</si>
  <si>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</si>
  <si>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</si>
  <si>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</si>
  <si>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</si>
  <si>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</si>
  <si>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</si>
  <si>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</si>
  <si>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</si>
  <si>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</si>
  <si>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</si>
  <si>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</si>
  <si>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</si>
  <si>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</si>
  <si>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</si>
  <si>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</si>
  <si>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</si>
  <si>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</si>
  <si>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</si>
  <si>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</si>
  <si>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</si>
  <si>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</si>
  <si>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</si>
  <si>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</si>
  <si>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</si>
  <si>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</si>
  <si>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</si>
  <si>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</si>
  <si>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</si>
  <si>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</si>
  <si>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</si>
  <si>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</si>
  <si>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</si>
  <si>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</si>
  <si>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</si>
  <si>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</si>
  <si>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</si>
  <si>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</si>
  <si>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</si>
  <si>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</si>
  <si>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</si>
  <si>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</si>
  <si>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</si>
  <si>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</si>
  <si>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</si>
  <si>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</si>
  <si>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</si>
  <si>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</si>
  <si>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</si>
  <si>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</si>
  <si>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</si>
  <si>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</si>
  <si>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</si>
  <si>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</si>
  <si>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</si>
  <si>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</si>
  <si>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</si>
  <si>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</si>
  <si>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</si>
  <si>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</si>
  <si>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</si>
  <si>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</si>
  <si>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</si>
  <si>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</si>
  <si>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</si>
  <si>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</si>
  <si>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</si>
  <si>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</si>
  <si>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</si>
  <si>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</si>
  <si>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</si>
  <si>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</si>
  <si>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</si>
  <si>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</si>
  <si>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</si>
  <si>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</si>
  <si>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</si>
  <si>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</si>
  <si>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</si>
  <si>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</si>
  <si>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</si>
  <si>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</si>
  <si>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</si>
  <si>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</si>
  <si>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</si>
  <si>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</si>
  <si>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</si>
  <si>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</si>
  <si>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</si>
  <si>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</si>
  <si>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</si>
  <si>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</si>
  <si>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</si>
  <si>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</si>
  <si>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</si>
  <si>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</si>
  <si>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</si>
  <si>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</si>
  <si>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</si>
  <si>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</si>
  <si>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</si>
  <si>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</si>
  <si>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</si>
  <si>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</si>
  <si>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</si>
  <si>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</si>
  <si>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</si>
  <si>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</si>
  <si>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</si>
  <si>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</si>
  <si>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</si>
  <si>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</si>
  <si>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</si>
  <si>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</si>
  <si>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</si>
  <si>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</si>
  <si>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</si>
  <si>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</si>
  <si>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</si>
  <si>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</si>
  <si>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</si>
  <si>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</si>
  <si>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</si>
  <si>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</si>
  <si>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</si>
  <si>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</si>
  <si>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</si>
  <si>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</si>
  <si>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</si>
  <si>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</si>
  <si>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</si>
  <si>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</si>
  <si>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</si>
  <si>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</si>
  <si>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</si>
  <si>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</si>
  <si>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</si>
  <si>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</si>
  <si>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</si>
  <si>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</si>
  <si>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</si>
  <si>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</si>
  <si>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</si>
  <si>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</si>
  <si>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</si>
  <si>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</si>
  <si>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</si>
  <si>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</si>
  <si>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</si>
  <si>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</si>
  <si>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</si>
  <si>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</si>
  <si>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</si>
  <si>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</si>
  <si>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</si>
  <si>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</si>
  <si>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</si>
  <si>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</si>
  <si>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</si>
  <si>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</si>
  <si>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</si>
  <si>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</si>
  <si>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</si>
  <si>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</si>
  <si>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</si>
  <si>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</si>
  <si>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</si>
  <si>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</si>
  <si>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</si>
  <si>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</si>
  <si>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</si>
  <si>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</si>
  <si>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</si>
  <si>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</si>
  <si>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</si>
  <si>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</si>
  <si>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</si>
  <si>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</si>
  <si>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</si>
  <si>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</si>
  <si>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</si>
  <si>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</si>
  <si>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</si>
  <si>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</si>
  <si>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</si>
  <si>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</si>
  <si>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</si>
  <si>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</si>
  <si>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</si>
  <si>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</si>
  <si>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</si>
  <si>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</si>
  <si>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</si>
  <si>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</si>
  <si>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</si>
  <si>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</si>
  <si>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</si>
  <si>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</si>
  <si>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</si>
  <si>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</si>
  <si>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</si>
  <si>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</si>
  <si>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</si>
  <si>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</si>
  <si>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</si>
  <si>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</si>
  <si>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</si>
  <si>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</si>
  <si>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</si>
  <si>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</si>
  <si>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</si>
  <si>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</si>
  <si>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</si>
  <si>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</si>
  <si>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</si>
  <si>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</si>
  <si>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</si>
  <si>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</si>
  <si>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</si>
  <si>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</si>
  <si>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</si>
  <si>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</si>
  <si>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</si>
  <si>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</si>
  <si>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</si>
  <si>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</si>
  <si>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</si>
  <si>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</si>
  <si>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</si>
  <si>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</si>
  <si>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</si>
  <si>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</si>
  <si>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</si>
  <si>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</si>
  <si>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</si>
  <si>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</si>
  <si>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</si>
  <si>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</si>
  <si>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</si>
  <si>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</si>
  <si>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</si>
  <si>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</si>
  <si>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</si>
  <si>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</si>
  <si>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</si>
  <si>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</si>
  <si>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</si>
  <si>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</si>
  <si>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</si>
  <si>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</si>
  <si>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</si>
  <si>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</si>
  <si>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</si>
  <si>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</si>
  <si>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</si>
  <si>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</si>
  <si>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</si>
  <si>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</si>
  <si>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</si>
  <si>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</si>
  <si>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</si>
  <si>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</si>
  <si>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</si>
  <si>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</si>
  <si>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</si>
  <si>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</si>
  <si>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</si>
  <si>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</si>
  <si>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</si>
  <si>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</si>
  <si>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</si>
  <si>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</si>
  <si>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</si>
  <si>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</si>
  <si>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</si>
  <si>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</si>
  <si>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</si>
  <si>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</si>
  <si>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</si>
  <si>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</si>
  <si>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</si>
  <si>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</si>
  <si>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</si>
  <si>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</si>
  <si>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</si>
  <si>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</si>
  <si>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</si>
  <si>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</si>
  <si>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</si>
  <si>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</si>
  <si>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</si>
  <si>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</si>
  <si>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</si>
  <si>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</si>
  <si>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</si>
  <si>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</si>
  <si>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</si>
  <si>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</si>
  <si>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</si>
  <si>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</si>
  <si>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</si>
  <si>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</si>
  <si>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</si>
  <si>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</si>
  <si>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</si>
  <si>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</si>
  <si>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</si>
  <si>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</si>
  <si>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</si>
  <si>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</si>
  <si>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</si>
  <si>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</si>
  <si>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</si>
  <si>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</si>
  <si>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</si>
  <si>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</si>
  <si>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</si>
  <si>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</si>
  <si>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</si>
  <si>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</si>
  <si>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</si>
  <si>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</si>
  <si>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</si>
  <si>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</si>
  <si>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</si>
  <si>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</si>
  <si>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</si>
  <si>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</si>
  <si>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</si>
  <si>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</si>
  <si>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</si>
  <si>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</si>
  <si>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</si>
  <si>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</si>
  <si>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</si>
  <si>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</si>
  <si>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</si>
  <si>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</si>
  <si>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</si>
  <si>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</si>
  <si>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</si>
  <si>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</si>
  <si>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</si>
  <si>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</si>
  <si>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</si>
  <si>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</si>
  <si>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</si>
  <si>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</si>
  <si>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</si>
  <si>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</si>
  <si>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</si>
  <si>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</si>
  <si>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</si>
  <si>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</si>
  <si>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</si>
  <si>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</si>
  <si>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</si>
  <si>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</si>
  <si>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</si>
  <si>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</si>
  <si>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</si>
  <si>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</si>
  <si>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</si>
  <si>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</si>
  <si>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</si>
  <si>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</si>
  <si>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</si>
  <si>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</si>
  <si>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</si>
  <si>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</si>
  <si>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</si>
  <si>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</si>
  <si>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</si>
  <si>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</si>
  <si>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</si>
  <si>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</si>
  <si>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</si>
  <si>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</si>
  <si>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</si>
  <si>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</si>
  <si>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</si>
  <si>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</si>
  <si>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</si>
  <si>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</si>
  <si>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</si>
  <si>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</si>
  <si>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</si>
  <si>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</si>
  <si>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</si>
  <si>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</si>
  <si>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</si>
  <si>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</si>
  <si>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</si>
  <si>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</si>
  <si>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</si>
  <si>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</si>
  <si>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</si>
  <si>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</si>
  <si>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</si>
  <si>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</si>
  <si>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</si>
  <si>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</si>
  <si>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</si>
  <si>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</si>
  <si>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</si>
  <si>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</si>
  <si>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</si>
  <si>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</si>
  <si>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</si>
  <si>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</si>
  <si>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</si>
  <si>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</si>
  <si>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</si>
  <si>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</si>
  <si>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</si>
  <si>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</si>
  <si>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</si>
  <si>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</si>
  <si>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</si>
  <si>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</si>
  <si>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</si>
  <si>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</si>
  <si>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</si>
  <si>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</si>
  <si>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</si>
  <si>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</si>
  <si>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</si>
  <si>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</si>
  <si>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</si>
  <si>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</si>
  <si>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</si>
  <si>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</si>
  <si>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</si>
  <si>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</si>
  <si>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</si>
  <si>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</si>
  <si>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</si>
  <si>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</si>
  <si>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</si>
  <si>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</si>
  <si>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</si>
  <si>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</si>
  <si>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</si>
  <si>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</si>
  <si>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</si>
  <si>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</si>
  <si>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</si>
  <si>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</si>
  <si>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</si>
  <si>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</si>
  <si>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</si>
  <si>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</si>
  <si>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</si>
  <si>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</si>
  <si>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</si>
  <si>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</si>
  <si>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</si>
  <si>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</si>
  <si>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</si>
  <si>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</si>
  <si>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</si>
  <si>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</si>
  <si>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</si>
  <si>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</si>
  <si>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</si>
  <si>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</si>
  <si>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</si>
  <si>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</si>
  <si>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</si>
  <si>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</si>
  <si>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</si>
  <si>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</si>
  <si>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</si>
  <si>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</si>
  <si>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</si>
  <si>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</si>
  <si>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</si>
  <si>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</si>
  <si>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</si>
  <si>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</si>
  <si>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</si>
  <si>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</si>
  <si>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</si>
  <si>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</si>
  <si>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</si>
  <si>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</si>
  <si>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</si>
  <si>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</si>
  <si>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</si>
  <si>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</si>
  <si>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</si>
  <si>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</si>
  <si>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</si>
  <si>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</si>
  <si>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</si>
  <si>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</si>
  <si>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</si>
  <si>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</si>
  <si>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</si>
  <si>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</si>
  <si>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</si>
  <si>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</si>
  <si>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</si>
  <si>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</si>
  <si>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</si>
  <si>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</si>
  <si>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</si>
  <si>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</si>
  <si>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</si>
  <si>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</si>
  <si>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</si>
  <si>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</si>
  <si>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</si>
  <si>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</si>
  <si>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</si>
  <si>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</si>
  <si>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</si>
  <si>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</si>
  <si>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</si>
  <si>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</si>
  <si>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</si>
  <si>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</si>
  <si>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</si>
  <si>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</si>
  <si>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</si>
  <si>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</si>
  <si>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</si>
  <si>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</si>
  <si>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</si>
  <si>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</si>
  <si>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</si>
  <si>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</si>
  <si>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</si>
  <si>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</si>
  <si>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</si>
  <si>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</si>
  <si>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</si>
  <si>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</si>
  <si>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</si>
  <si>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</si>
  <si>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</si>
  <si>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</si>
  <si>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</si>
  <si>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</si>
  <si>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</si>
  <si>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</si>
  <si>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</si>
  <si>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</si>
  <si>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</si>
  <si>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</si>
  <si>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</si>
  <si>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</si>
  <si>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</si>
  <si>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</si>
  <si>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</si>
  <si>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</si>
  <si>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</si>
  <si>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</si>
  <si>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</si>
  <si>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</si>
  <si>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</si>
  <si>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</si>
  <si>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</si>
  <si>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</si>
  <si>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</si>
  <si>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</si>
  <si>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</si>
  <si>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</si>
  <si>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</si>
  <si>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</si>
  <si>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</si>
  <si>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</si>
  <si>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</si>
  <si>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</si>
  <si>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</si>
  <si>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</si>
  <si>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</si>
  <si>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</si>
  <si>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</si>
  <si>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</si>
  <si>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</si>
  <si>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</si>
  <si>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</si>
  <si>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</si>
  <si>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</si>
  <si>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</si>
  <si>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</si>
  <si>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</si>
  <si>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</si>
  <si>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</si>
  <si>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</si>
  <si>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</si>
  <si>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</si>
  <si>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</si>
  <si>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</si>
  <si>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</si>
  <si>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</si>
  <si>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</si>
  <si>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</si>
  <si>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</si>
  <si>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</si>
  <si>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</si>
  <si>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</si>
  <si>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</si>
  <si>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</si>
  <si>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</si>
  <si>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</si>
  <si>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</si>
  <si>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</si>
  <si>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</si>
  <si>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</si>
  <si>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</si>
  <si>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</si>
  <si>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</si>
  <si>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</si>
  <si>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</si>
  <si>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</si>
  <si>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</si>
  <si>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</si>
  <si>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</si>
  <si>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</si>
  <si>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</si>
  <si>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</si>
  <si>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</si>
  <si>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</si>
  <si>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</si>
  <si>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</si>
  <si>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</si>
  <si>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</si>
  <si>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</si>
  <si>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</si>
  <si>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</si>
  <si>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</si>
  <si>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</si>
  <si>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</si>
  <si>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</si>
  <si>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</si>
  <si>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</si>
  <si>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</si>
  <si>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</si>
  <si>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</si>
  <si>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</si>
  <si>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</si>
  <si>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</si>
  <si>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</si>
  <si>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</si>
  <si>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</si>
  <si>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</si>
  <si>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</si>
  <si>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</si>
  <si>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</si>
  <si>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</si>
  <si>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</si>
  <si>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</si>
  <si>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</si>
  <si>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</si>
  <si>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</si>
  <si>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</si>
  <si>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</si>
  <si>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</si>
  <si>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</si>
  <si>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</si>
  <si>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</si>
  <si>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</si>
  <si>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</si>
  <si>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</si>
  <si>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</si>
  <si>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</si>
  <si>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</si>
  <si>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</si>
  <si>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</si>
  <si>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</si>
  <si>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</si>
  <si>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</si>
  <si>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</si>
  <si>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</si>
  <si>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</si>
  <si>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</si>
  <si>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</si>
  <si>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</si>
  <si>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</si>
  <si>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</si>
  <si>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</si>
  <si>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</si>
  <si>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</si>
  <si>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</si>
  <si>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</si>
  <si>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</si>
  <si>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</si>
  <si>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</si>
  <si>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</si>
  <si>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</si>
  <si>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</si>
  <si>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</si>
  <si>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</si>
  <si>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</si>
  <si>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</si>
  <si>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</si>
  <si>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</si>
  <si>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</si>
  <si>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</si>
  <si>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</si>
  <si>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</si>
  <si>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</si>
  <si>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</si>
  <si>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</si>
  <si>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</si>
  <si>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</si>
  <si>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</si>
  <si>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</si>
  <si>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</si>
  <si>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</si>
  <si>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</si>
  <si>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</si>
  <si>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</si>
  <si>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</si>
  <si>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</si>
  <si>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</si>
  <si>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</si>
  <si>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</si>
  <si>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</si>
  <si>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</si>
  <si>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</si>
  <si>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</si>
  <si>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</si>
  <si>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</si>
  <si>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</si>
  <si>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</si>
  <si>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</si>
  <si>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</si>
  <si>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</si>
  <si>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</si>
  <si>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</si>
  <si>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</si>
  <si>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</si>
  <si>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</si>
  <si>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</si>
  <si>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</si>
  <si>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</si>
  <si>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</si>
  <si>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</si>
  <si>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</si>
  <si>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</si>
  <si>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</si>
  <si>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</si>
  <si>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</si>
  <si>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</si>
  <si>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</si>
  <si>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</si>
  <si>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</si>
  <si>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</si>
  <si>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</si>
  <si>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</si>
  <si>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</si>
  <si>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</si>
  <si>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</si>
  <si>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</si>
  <si>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</si>
  <si>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</si>
  <si>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</si>
  <si>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</si>
  <si>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</si>
  <si>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</si>
  <si>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</si>
  <si>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</si>
  <si>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</si>
  <si>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</si>
  <si>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</si>
  <si>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</si>
  <si>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</si>
  <si>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</si>
  <si>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</si>
  <si>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</si>
  <si>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</si>
  <si>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</si>
  <si>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</si>
  <si>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</si>
  <si>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</si>
  <si>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</si>
  <si>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</si>
  <si>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</si>
  <si>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</si>
  <si>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</si>
  <si>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</si>
  <si>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</si>
  <si>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</si>
  <si>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</si>
  <si>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</si>
  <si>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</si>
  <si>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</si>
  <si>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</si>
  <si>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</si>
  <si>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</si>
  <si>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</si>
  <si>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</si>
  <si>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</si>
  <si>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</si>
  <si>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</si>
  <si>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</si>
  <si>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</si>
  <si>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</si>
  <si>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</si>
  <si>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</si>
  <si>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</si>
  <si>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</si>
  <si>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</si>
  <si>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</si>
  <si>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</si>
  <si>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</si>
  <si>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</si>
  <si>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</si>
  <si>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</si>
  <si>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</si>
  <si>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</si>
  <si>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</si>
  <si>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</si>
  <si>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</si>
  <si>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</si>
  <si>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</si>
  <si>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</si>
  <si>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</si>
  <si>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</si>
  <si>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</si>
  <si>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</si>
  <si>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</si>
  <si>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</si>
  <si>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</si>
  <si>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</si>
  <si>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</si>
  <si>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</si>
  <si>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</si>
  <si>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</si>
  <si>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</si>
  <si>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</si>
  <si>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</si>
  <si>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</si>
  <si>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</si>
  <si>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</si>
  <si>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</si>
  <si>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</si>
  <si>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</si>
  <si>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</si>
  <si>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</si>
  <si>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</si>
  <si>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</si>
  <si>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</si>
  <si>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</si>
  <si>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</si>
  <si>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</si>
  <si>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</si>
  <si>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</si>
  <si>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</si>
  <si>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</si>
  <si>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</si>
  <si>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</si>
  <si>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</si>
  <si>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</si>
  <si>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</si>
  <si>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</si>
  <si>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</si>
  <si>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</si>
  <si>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</si>
  <si>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</si>
  <si>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</si>
  <si>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</si>
  <si>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</si>
  <si>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</si>
  <si>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</si>
  <si>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</si>
  <si>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</si>
  <si>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</si>
  <si>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</si>
  <si>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</si>
  <si>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</si>
  <si>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</si>
  <si>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</si>
  <si>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</si>
  <si>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</si>
  <si>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</si>
  <si>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</si>
  <si>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</si>
  <si>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</si>
  <si>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</si>
  <si>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</si>
  <si>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</si>
  <si>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</si>
  <si>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</si>
  <si>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</si>
  <si>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</si>
  <si>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</si>
  <si>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</si>
  <si>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</si>
  <si>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</si>
  <si>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</si>
  <si>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</si>
  <si>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</si>
  <si>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</si>
  <si>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</si>
  <si>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</si>
  <si>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</si>
  <si>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</si>
  <si>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</si>
  <si>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</si>
  <si>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</si>
  <si>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</si>
  <si>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</si>
  <si>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</si>
  <si>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</si>
  <si>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</si>
  <si>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</si>
  <si>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</si>
  <si>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</si>
  <si>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</si>
  <si>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</si>
  <si>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</si>
  <si>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</si>
  <si>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</si>
  <si>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</si>
  <si>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</si>
  <si>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</si>
  <si>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</si>
  <si>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</si>
  <si>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</si>
  <si>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</si>
  <si>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</si>
  <si>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</si>
  <si>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</si>
  <si>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</si>
  <si>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</si>
  <si>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</si>
  <si>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</si>
  <si>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</si>
  <si>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</si>
  <si>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</si>
  <si>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</si>
  <si>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</si>
  <si>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</si>
  <si>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</si>
  <si>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</si>
  <si>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</si>
  <si>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</si>
  <si>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</si>
  <si>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</si>
  <si>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</si>
  <si>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</si>
  <si>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</si>
  <si>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</si>
  <si>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</si>
  <si>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</si>
  <si>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</si>
  <si>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</si>
  <si>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</si>
  <si>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</si>
  <si>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</si>
  <si>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</si>
  <si>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</si>
  <si>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</si>
  <si>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</si>
  <si>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</si>
  <si>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</si>
  <si>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</si>
  <si>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</si>
  <si>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</si>
  <si>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</si>
  <si>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</si>
  <si>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</si>
  <si>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</si>
  <si>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</si>
  <si>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</si>
  <si>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</si>
  <si>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</si>
  <si>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</si>
  <si>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</si>
  <si>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</si>
  <si>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</si>
  <si>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</si>
  <si>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</si>
  <si>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</si>
  <si>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</si>
  <si>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</si>
  <si>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</si>
  <si>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</si>
  <si>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</si>
  <si>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</si>
  <si>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</si>
  <si>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</si>
  <si>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</si>
  <si>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</si>
  <si>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</si>
  <si>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</si>
  <si>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</si>
  <si>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</si>
  <si>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</si>
  <si>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</si>
  <si>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</si>
  <si>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</si>
  <si>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</si>
  <si>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</si>
  <si>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</si>
  <si>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</si>
  <si>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</si>
  <si>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</si>
  <si>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</si>
  <si>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</si>
  <si>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</si>
  <si>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</si>
  <si>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</si>
  <si>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</si>
  <si>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</si>
  <si>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</si>
  <si>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</si>
  <si>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</si>
  <si>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</si>
  <si>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</si>
  <si>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</si>
  <si>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</si>
  <si>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</si>
  <si>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</si>
  <si>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</si>
  <si>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</si>
  <si>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</si>
  <si>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</si>
  <si>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</si>
  <si>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</si>
  <si>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</si>
  <si>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</si>
  <si>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</si>
  <si>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</si>
  <si>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</si>
  <si>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</si>
  <si>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</si>
  <si>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</si>
  <si>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</si>
  <si>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</si>
  <si>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</si>
  <si>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</si>
  <si>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</si>
  <si>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</si>
  <si>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</si>
  <si>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</si>
  <si>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</si>
  <si>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</si>
  <si>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</si>
  <si>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</si>
  <si>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</si>
  <si>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</si>
  <si>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</si>
  <si>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</si>
  <si>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</si>
  <si>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</si>
  <si>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</si>
  <si>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</si>
  <si>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</si>
  <si>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</si>
  <si>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</si>
  <si>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</si>
  <si>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</si>
  <si>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</si>
  <si>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</si>
  <si>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</si>
  <si>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</si>
  <si>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</si>
  <si>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</si>
  <si>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</si>
  <si>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</si>
  <si>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</si>
  <si>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</si>
  <si>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</si>
  <si>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</si>
  <si>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</si>
  <si>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</si>
  <si>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</si>
  <si>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</si>
  <si>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</si>
  <si>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</si>
  <si>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</si>
  <si>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</si>
  <si>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</si>
  <si>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</si>
  <si>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</si>
  <si>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</si>
  <si>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</si>
  <si>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</si>
  <si>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</si>
  <si>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</si>
  <si>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</si>
  <si>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</si>
  <si>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</si>
  <si>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</si>
  <si>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</si>
  <si>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</si>
  <si>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</si>
  <si>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</si>
  <si>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</si>
  <si>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</si>
  <si>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</si>
  <si>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</si>
  <si>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</si>
  <si>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</si>
  <si>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</si>
  <si>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</si>
  <si>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</si>
  <si>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</si>
  <si>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</si>
  <si>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</si>
  <si>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</si>
  <si>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</si>
  <si>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</si>
  <si>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</si>
  <si>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</si>
  <si>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</si>
  <si>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</si>
  <si>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</si>
  <si>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</si>
  <si>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</si>
  <si>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</si>
  <si>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</si>
  <si>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</si>
  <si>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</si>
  <si>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</si>
  <si>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</si>
  <si>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</si>
  <si>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</si>
  <si>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</si>
  <si>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</si>
  <si>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</si>
  <si>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</si>
  <si>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</si>
  <si>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</si>
  <si>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</si>
  <si>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</si>
  <si>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</si>
  <si>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</si>
  <si>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</si>
  <si>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</si>
  <si>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</si>
  <si>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</si>
  <si>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</si>
  <si>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</si>
  <si>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</si>
  <si>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</si>
  <si>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</si>
  <si>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</si>
  <si>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</si>
  <si>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</si>
  <si>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</si>
  <si>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</si>
  <si>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</si>
  <si>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</si>
  <si>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</si>
  <si>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</si>
  <si>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</si>
  <si>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</si>
  <si>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</si>
  <si>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</si>
  <si>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</si>
  <si>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</si>
  <si>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</si>
  <si>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</si>
  <si>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</si>
  <si>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</si>
  <si>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</si>
  <si>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</si>
  <si>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</si>
  <si>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</si>
  <si>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</si>
  <si>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</si>
  <si>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</si>
  <si>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</si>
  <si>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</si>
  <si>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</si>
  <si>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</si>
  <si>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</si>
  <si>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</si>
  <si>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</si>
  <si>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</si>
  <si>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</si>
  <si>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</si>
  <si>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</si>
  <si>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</si>
  <si>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</si>
  <si>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</si>
  <si>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</si>
  <si>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</si>
  <si>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</si>
  <si>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</si>
  <si>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</si>
  <si>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</si>
  <si>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</si>
  <si>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</si>
  <si>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</si>
  <si>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</si>
  <si>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</si>
  <si>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</si>
  <si>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</si>
  <si>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</si>
  <si>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</si>
  <si>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</si>
  <si>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</si>
  <si>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</si>
  <si>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</si>
  <si>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</si>
  <si>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</si>
  <si>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</si>
  <si>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</si>
  <si>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</si>
  <si>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</si>
  <si>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</si>
  <si>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</si>
  <si>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</si>
  <si>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</si>
  <si>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</si>
  <si>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</si>
  <si>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</si>
  <si>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</si>
  <si>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</si>
  <si>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</si>
  <si>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</si>
  <si>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</si>
  <si>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</si>
  <si>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</si>
  <si>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</si>
  <si>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</si>
  <si>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</si>
  <si>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</si>
  <si>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</si>
  <si>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</si>
  <si>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</si>
  <si>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</si>
  <si>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</si>
  <si>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</si>
  <si>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</si>
  <si>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</si>
  <si>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</si>
  <si>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</si>
  <si>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</si>
  <si>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</si>
  <si>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</si>
  <si>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</si>
  <si>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</si>
  <si>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</si>
  <si>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</si>
  <si>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</si>
  <si>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</si>
  <si>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</si>
  <si>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</si>
  <si>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</si>
  <si>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</si>
  <si>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</si>
  <si>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</si>
  <si>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</si>
  <si>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</si>
  <si>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</si>
  <si>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</si>
  <si>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</si>
  <si>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</si>
  <si>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</si>
  <si>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</si>
  <si>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</si>
  <si>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</si>
  <si>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</si>
  <si>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</si>
  <si>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</si>
  <si>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</si>
  <si>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</si>
  <si>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</si>
  <si>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</si>
  <si>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</si>
  <si>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</si>
  <si>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</si>
  <si>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</si>
  <si>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</si>
  <si>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</si>
  <si>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</si>
  <si>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</si>
  <si>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</si>
  <si>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</si>
  <si>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</si>
  <si>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</si>
  <si>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</si>
  <si>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</si>
  <si>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</si>
  <si>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</si>
  <si>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</si>
  <si>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</si>
  <si>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</si>
  <si>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</si>
  <si>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</si>
  <si>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</si>
  <si>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</si>
  <si>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</si>
  <si>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</si>
  <si>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</si>
  <si>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</si>
  <si>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</si>
  <si>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</si>
  <si>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</si>
  <si>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</si>
  <si>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</si>
  <si>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</si>
  <si>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</si>
  <si>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</si>
  <si>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</si>
  <si>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</si>
  <si>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</si>
  <si>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</si>
  <si>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</si>
  <si>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</si>
  <si>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</si>
  <si>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</si>
  <si>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</si>
  <si>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</si>
  <si>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</si>
  <si>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</si>
  <si>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</si>
  <si>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</si>
  <si>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</si>
  <si>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</si>
  <si>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</si>
  <si>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</si>
  <si>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</si>
  <si>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</si>
  <si>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</si>
  <si>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</si>
  <si>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</si>
  <si>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</si>
  <si>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</si>
  <si>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</si>
  <si>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</si>
  <si>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</si>
  <si>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</si>
  <si>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</si>
  <si>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</si>
  <si>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</si>
  <si>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</si>
  <si>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</si>
  <si>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</si>
  <si>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</si>
  <si>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</si>
  <si>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</si>
  <si>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</si>
  <si>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</si>
  <si>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</si>
  <si>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</si>
  <si>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</si>
  <si>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</si>
  <si>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</si>
  <si>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</si>
  <si>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</si>
  <si>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</si>
  <si>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</si>
  <si>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</si>
  <si>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</si>
  <si>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</si>
  <si>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</si>
  <si>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</si>
  <si>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</si>
  <si>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</si>
  <si>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</si>
  <si>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</si>
  <si>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</si>
  <si>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</si>
  <si>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</si>
  <si>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</si>
  <si>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</si>
  <si>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</si>
  <si>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</si>
  <si>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</si>
  <si>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</si>
  <si>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</si>
  <si>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</si>
  <si>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</si>
  <si>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</si>
  <si>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</si>
  <si>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</si>
  <si>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</si>
  <si>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</si>
  <si>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</si>
  <si>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</si>
  <si>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</si>
  <si>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</si>
  <si>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</si>
  <si>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</si>
  <si>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</si>
  <si>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</si>
  <si>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</si>
  <si>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</si>
  <si>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</si>
  <si>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</si>
  <si>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</si>
  <si>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</si>
  <si>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</si>
  <si>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</si>
  <si>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</si>
  <si>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</si>
  <si>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</si>
  <si>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</si>
  <si>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</si>
  <si>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</si>
  <si>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</si>
  <si>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</si>
  <si>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</si>
  <si>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</si>
  <si>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</si>
  <si>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</si>
  <si>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</si>
  <si>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</si>
  <si>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</si>
  <si>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</si>
  <si>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</si>
  <si>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</si>
  <si>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</si>
  <si>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</si>
  <si>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</si>
  <si>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</si>
  <si>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</si>
  <si>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</si>
  <si>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</si>
  <si>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</si>
  <si>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</si>
  <si>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</si>
  <si>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</si>
  <si>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</si>
  <si>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</si>
  <si>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</si>
  <si>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</si>
  <si>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</si>
  <si>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</si>
  <si>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</si>
  <si>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</si>
  <si>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</si>
  <si>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</si>
  <si>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</si>
  <si>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</si>
  <si>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</si>
  <si>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</si>
  <si>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</si>
  <si>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</si>
  <si>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</si>
  <si>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</si>
  <si>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</si>
  <si>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</si>
  <si>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</si>
  <si>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</si>
  <si>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</si>
  <si>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</si>
  <si>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</si>
  <si>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</si>
  <si>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</si>
  <si>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</si>
  <si>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</si>
  <si>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</si>
  <si>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</si>
  <si>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</si>
  <si>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</si>
  <si>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</si>
  <si>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</si>
  <si>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</si>
  <si>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</si>
  <si>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</si>
  <si>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</si>
  <si>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</si>
  <si>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</si>
  <si>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</si>
  <si>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</si>
  <si>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</si>
  <si>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</si>
  <si>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</si>
  <si>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</si>
  <si>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</si>
  <si>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</si>
  <si>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</si>
  <si>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</si>
  <si>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</si>
  <si>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</si>
  <si>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</si>
  <si>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</si>
  <si>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</si>
  <si>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</si>
  <si>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</si>
  <si>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</si>
  <si>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</si>
  <si>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</si>
  <si>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</si>
  <si>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</si>
  <si>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</si>
  <si>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</si>
  <si>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</si>
  <si>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</si>
  <si>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</si>
  <si>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</si>
  <si>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</si>
  <si>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</si>
  <si>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</si>
  <si>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</si>
  <si>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</si>
  <si>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</si>
  <si>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</si>
  <si>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</si>
  <si>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</si>
  <si>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</si>
  <si>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</si>
  <si>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</si>
  <si>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</si>
  <si>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</si>
  <si>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</si>
  <si>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</si>
  <si>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</si>
  <si>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</si>
  <si>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</si>
  <si>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</si>
  <si>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</si>
  <si>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</si>
  <si>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</si>
  <si>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</si>
  <si>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</si>
  <si>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</si>
  <si>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</si>
  <si>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</si>
  <si>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</si>
  <si>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</si>
  <si>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</si>
  <si>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</si>
  <si>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</si>
  <si>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</si>
  <si>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</si>
  <si>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</si>
  <si>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</si>
  <si>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</si>
  <si>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</si>
  <si>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</si>
  <si>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</si>
  <si>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</si>
  <si>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</si>
  <si>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</si>
  <si>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</si>
  <si>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</si>
  <si>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</si>
  <si>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</si>
  <si>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</si>
  <si>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</si>
  <si>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</si>
  <si>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</si>
  <si>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</si>
  <si>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</si>
  <si>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</si>
  <si>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</si>
  <si>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</si>
  <si>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</si>
  <si>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</si>
  <si>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</si>
  <si>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</si>
  <si>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</si>
  <si>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</si>
  <si>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</si>
  <si>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</si>
  <si>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</si>
  <si>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</si>
  <si>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</si>
  <si>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</si>
  <si>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</si>
  <si>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</si>
  <si>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</si>
  <si>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</si>
  <si>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</si>
  <si>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</si>
  <si>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</si>
  <si>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</si>
  <si>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</si>
  <si>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</si>
  <si>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</si>
  <si>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</si>
  <si>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</si>
  <si>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</si>
  <si>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</si>
  <si>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</si>
  <si>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</si>
  <si>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</si>
  <si>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</si>
  <si>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</si>
  <si>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</si>
  <si>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</si>
  <si>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</si>
  <si>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</si>
  <si>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</si>
  <si>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</si>
  <si>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</si>
  <si>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</si>
  <si>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</si>
  <si>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</si>
  <si>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</si>
  <si>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</si>
  <si>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</si>
  <si>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</si>
  <si>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</si>
  <si>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</si>
  <si>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</si>
  <si>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</si>
  <si>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</si>
  <si>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</si>
  <si>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</si>
  <si>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</si>
  <si>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</si>
  <si>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</si>
  <si>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</si>
  <si>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</si>
  <si>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</si>
  <si>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</si>
  <si>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</si>
  <si>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</si>
  <si>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</si>
  <si>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</si>
  <si>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</si>
  <si>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</si>
  <si>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</si>
  <si>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</si>
  <si>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</si>
  <si>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</si>
  <si>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</si>
  <si>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</si>
  <si>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</si>
  <si>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</si>
  <si>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</si>
  <si>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</si>
  <si>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</si>
  <si>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</si>
  <si>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</si>
  <si>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</si>
  <si>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</si>
  <si>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</si>
  <si>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</si>
  <si>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</si>
  <si>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</si>
  <si>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</si>
  <si>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</si>
  <si>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</si>
  <si>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</si>
  <si>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</si>
  <si>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</si>
  <si>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</si>
  <si>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</si>
  <si>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</si>
  <si>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</si>
  <si>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</si>
  <si>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</si>
  <si>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</si>
  <si>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</si>
  <si>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</si>
  <si>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</si>
  <si>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</si>
  <si>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</si>
  <si>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</si>
  <si>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</si>
  <si>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</si>
  <si>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</si>
  <si>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</si>
  <si>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</si>
  <si>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</si>
  <si>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</si>
  <si>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</si>
  <si>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</si>
  <si>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</si>
  <si>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</si>
  <si>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</si>
  <si>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</si>
  <si>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</si>
  <si>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</si>
  <si>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</si>
  <si>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</si>
  <si>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</si>
  <si>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</si>
  <si>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</si>
  <si>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</si>
  <si>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</si>
  <si>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</si>
  <si>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</si>
  <si>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</si>
  <si>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</si>
  <si>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</si>
  <si>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</si>
  <si>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</si>
  <si>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</si>
  <si>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</si>
  <si>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</si>
  <si>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</si>
  <si>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</si>
  <si>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</si>
  <si>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</si>
  <si>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</si>
  <si>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</si>
  <si>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</si>
  <si>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</si>
  <si>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</si>
  <si>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</si>
  <si>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</si>
  <si>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</si>
  <si>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</si>
  <si>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</si>
  <si>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</si>
  <si>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</si>
  <si>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</si>
  <si>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</si>
  <si>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</si>
  <si>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</si>
  <si>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</si>
  <si>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</si>
  <si>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</si>
  <si>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</si>
  <si>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</si>
  <si>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</si>
  <si>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</si>
  <si>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</si>
  <si>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</si>
  <si>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</si>
  <si>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</si>
  <si>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</si>
  <si>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</si>
  <si>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</si>
  <si>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</si>
  <si>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</si>
  <si>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</si>
  <si>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</si>
  <si>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</si>
  <si>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</si>
  <si>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</si>
  <si>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</si>
  <si>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</si>
  <si>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</si>
  <si>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</si>
  <si>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</si>
  <si>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</si>
  <si>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</si>
  <si>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</si>
  <si>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</si>
  <si>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</si>
  <si>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</si>
  <si>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</si>
  <si>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</si>
  <si>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</si>
  <si>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</si>
  <si>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</si>
  <si>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</si>
  <si>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</si>
  <si>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</si>
  <si>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</si>
  <si>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</si>
  <si>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</si>
  <si>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</si>
  <si>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</si>
  <si>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</si>
  <si>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</si>
  <si>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</si>
  <si>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</si>
  <si>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</si>
  <si>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</si>
  <si>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</si>
  <si>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</si>
  <si>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</si>
  <si>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</si>
  <si>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</si>
  <si>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</si>
  <si>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</si>
  <si>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</si>
  <si>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</si>
  <si>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</si>
  <si>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</si>
  <si>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</si>
  <si>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</si>
  <si>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</si>
  <si>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</si>
  <si>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</si>
  <si>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</si>
  <si>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</si>
  <si>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</si>
  <si>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</si>
  <si>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</si>
  <si>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</si>
  <si>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</si>
  <si>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</si>
  <si>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</si>
  <si>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</si>
  <si>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</si>
  <si>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</si>
  <si>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</si>
  <si>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</si>
  <si>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</si>
  <si>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</si>
  <si>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</si>
  <si>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</si>
  <si>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</si>
  <si>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</si>
  <si>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</si>
  <si>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</si>
  <si>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</si>
  <si>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</si>
  <si>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</si>
  <si>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</si>
  <si>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</si>
  <si>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</si>
  <si>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</si>
  <si>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</si>
  <si>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</si>
  <si>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</si>
  <si>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</si>
  <si>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</si>
  <si>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</si>
  <si>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</si>
  <si>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</si>
  <si>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</si>
  <si>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</si>
  <si>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</si>
  <si>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</si>
  <si>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</si>
  <si>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</si>
  <si>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</si>
  <si>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</si>
  <si>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</si>
  <si>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</si>
  <si>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</si>
  <si>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</si>
  <si>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</si>
  <si>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</si>
  <si>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</si>
  <si>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</si>
  <si>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</si>
  <si>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</si>
  <si>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</si>
  <si>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</si>
  <si>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</si>
  <si>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</si>
  <si>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</si>
  <si>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</si>
  <si>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</si>
  <si>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</si>
  <si>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</si>
  <si>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</si>
  <si>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</si>
  <si>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</si>
  <si>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</si>
  <si>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</si>
  <si>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</si>
  <si>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</si>
  <si>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</si>
  <si>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</si>
  <si>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</si>
  <si>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</si>
  <si>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</si>
  <si>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</si>
  <si>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</si>
  <si>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</si>
  <si>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</si>
  <si>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</si>
  <si>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</si>
  <si>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</si>
  <si>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</si>
  <si>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</si>
  <si>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</si>
  <si>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</si>
  <si>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</si>
  <si>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</si>
  <si>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</si>
  <si>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</si>
  <si>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</si>
  <si>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</si>
  <si>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</si>
  <si>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</si>
  <si>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</si>
  <si>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</si>
  <si>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</si>
  <si>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</si>
  <si>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</si>
  <si>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</si>
  <si>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</si>
  <si>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</si>
  <si>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</si>
  <si>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</si>
  <si>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</si>
  <si>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</si>
  <si>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</si>
  <si>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</si>
  <si>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</si>
  <si>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</si>
  <si>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</si>
  <si>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</si>
  <si>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</si>
  <si>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</si>
  <si>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</si>
  <si>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</si>
  <si>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</si>
  <si>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</si>
  <si>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</si>
  <si>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</si>
  <si>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</si>
  <si>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</si>
  <si>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</si>
  <si>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</si>
  <si>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</si>
  <si>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</si>
  <si>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</si>
  <si>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</si>
  <si>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</si>
  <si>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</si>
  <si>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</si>
  <si>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</si>
  <si>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</si>
  <si>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</si>
  <si>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</si>
  <si>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</si>
  <si>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</si>
  <si>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</si>
  <si>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</si>
  <si>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</si>
  <si>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</si>
  <si>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</si>
  <si>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</si>
  <si>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</si>
  <si>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</si>
  <si>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</si>
  <si>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</si>
  <si>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</si>
  <si>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</si>
  <si>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</si>
  <si>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</si>
  <si>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</si>
  <si>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</si>
  <si>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</si>
  <si>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</si>
  <si>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</si>
  <si>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</si>
  <si>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</si>
  <si>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</si>
  <si>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</si>
  <si>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</si>
  <si>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</si>
  <si>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</si>
  <si>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</si>
  <si>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</si>
  <si>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</si>
  <si>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</si>
  <si>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</si>
  <si>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</si>
  <si>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</si>
  <si>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</si>
  <si>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</si>
  <si>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</si>
  <si>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</si>
  <si>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</si>
  <si>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</si>
  <si>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</si>
  <si>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</si>
  <si>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</si>
  <si>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</si>
  <si>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</si>
  <si>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</si>
  <si>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</si>
  <si>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</si>
  <si>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</si>
  <si>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</si>
  <si>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</si>
  <si>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</si>
  <si>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</si>
  <si>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</si>
  <si>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</si>
  <si>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</si>
  <si>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</si>
  <si>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</si>
  <si>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</si>
  <si>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</si>
  <si>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</si>
  <si>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</si>
  <si>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</si>
  <si>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</si>
  <si>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</si>
  <si>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</si>
  <si>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</si>
  <si>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</si>
  <si>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</si>
  <si>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</si>
  <si>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</si>
  <si>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</si>
  <si>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</si>
  <si>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</si>
  <si>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</si>
  <si>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</si>
  <si>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</si>
  <si>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</si>
  <si>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</si>
  <si>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</si>
  <si>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</si>
  <si>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</si>
  <si>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</si>
  <si>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</si>
  <si>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</si>
  <si>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</si>
  <si>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</si>
  <si>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</si>
  <si>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</si>
  <si>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</si>
  <si>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</si>
  <si>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</si>
  <si>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</si>
  <si>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</si>
  <si>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</si>
  <si>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</si>
  <si>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</si>
  <si>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</si>
  <si>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</si>
  <si>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</si>
  <si>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</si>
  <si>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</si>
  <si>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</si>
  <si>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</si>
  <si>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</si>
  <si>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</si>
  <si>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</si>
  <si>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</si>
  <si>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</si>
  <si>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</si>
  <si>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</si>
  <si>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</si>
  <si>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</si>
  <si>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</si>
  <si>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</si>
  <si>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</si>
  <si>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</si>
  <si>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</si>
  <si>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</si>
  <si>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</si>
  <si>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</si>
  <si>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</si>
  <si>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</si>
  <si>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</si>
  <si>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</si>
  <si>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</si>
  <si>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</si>
  <si>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</si>
  <si>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</si>
  <si>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</si>
  <si>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</si>
  <si>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</si>
  <si>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</si>
  <si>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</si>
  <si>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</si>
  <si>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</si>
  <si>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</si>
  <si>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</si>
  <si>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</si>
  <si>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</si>
  <si>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</si>
  <si>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</si>
  <si>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</si>
  <si>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</si>
  <si>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</si>
  <si>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</si>
  <si>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</si>
  <si>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</si>
  <si>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</si>
  <si>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</si>
  <si>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</si>
  <si>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</si>
  <si>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</si>
  <si>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</si>
  <si>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</si>
  <si>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</si>
  <si>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</si>
  <si>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</si>
  <si>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</si>
  <si>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</si>
  <si>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</si>
  <si>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</si>
  <si>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</si>
  <si>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</si>
  <si>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</si>
  <si>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</si>
  <si>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</si>
  <si>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</si>
  <si>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</si>
  <si>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</si>
  <si>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</si>
  <si>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</si>
  <si>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</si>
  <si>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</si>
  <si>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</si>
  <si>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</si>
  <si>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</si>
  <si>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</si>
  <si>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</si>
  <si>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</si>
  <si>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</si>
  <si>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</si>
  <si>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</si>
  <si>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</si>
  <si>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</si>
  <si>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</si>
  <si>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</si>
  <si>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</si>
  <si>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</si>
  <si>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</si>
  <si>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</si>
  <si>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</si>
  <si>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</si>
  <si>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</si>
  <si>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</si>
  <si>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</si>
  <si>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</si>
  <si>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</si>
  <si>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</si>
  <si>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</si>
  <si>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</si>
  <si>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</si>
  <si>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</si>
  <si>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</si>
  <si>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</si>
  <si>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</si>
  <si>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</si>
  <si>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</si>
  <si>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</si>
  <si>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</si>
  <si>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</si>
  <si>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</si>
  <si>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</si>
  <si>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</si>
  <si>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</si>
  <si>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</si>
  <si>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</si>
  <si>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</si>
  <si>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</si>
  <si>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</si>
  <si>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</si>
  <si>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</si>
  <si>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</si>
  <si>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</si>
  <si>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</si>
  <si>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</si>
  <si>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</si>
  <si>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</si>
  <si>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</si>
  <si>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</si>
  <si>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</si>
  <si>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</si>
  <si>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</si>
  <si>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</si>
  <si>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</si>
  <si>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</si>
  <si>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</si>
  <si>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</si>
  <si>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</si>
  <si>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</si>
  <si>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</si>
  <si>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</si>
  <si>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</si>
  <si>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</si>
  <si>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</si>
  <si>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</si>
  <si>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</si>
  <si>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</si>
  <si>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</si>
  <si>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</si>
  <si>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</si>
  <si>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</si>
  <si>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</si>
  <si>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</si>
  <si>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</si>
  <si>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</si>
  <si>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</si>
  <si>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</si>
  <si>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</si>
  <si>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</si>
  <si>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</si>
  <si>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</si>
  <si>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</si>
  <si>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</si>
  <si>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</si>
  <si>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</si>
  <si>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</si>
  <si>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</si>
  <si>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</si>
  <si>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</si>
  <si>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</si>
  <si>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</si>
  <si>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</si>
  <si>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</si>
  <si>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</si>
  <si>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</si>
  <si>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</si>
  <si>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</si>
  <si>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</si>
  <si>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</si>
  <si>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</si>
  <si>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</si>
  <si>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</si>
  <si>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</si>
  <si>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</si>
  <si>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</si>
  <si>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</si>
  <si>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</si>
  <si>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</si>
  <si>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</si>
  <si>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</si>
  <si>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</si>
  <si>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</si>
  <si>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</si>
  <si>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</si>
  <si>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</si>
  <si>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</si>
  <si>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</si>
  <si>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</si>
  <si>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</si>
  <si>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</si>
  <si>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</si>
  <si>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</si>
  <si>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</si>
  <si>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</si>
  <si>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</si>
  <si>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</si>
  <si>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</si>
  <si>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</si>
  <si>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</si>
  <si>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</si>
  <si>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</si>
  <si>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</si>
  <si>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</si>
  <si>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</si>
  <si>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</si>
  <si>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</si>
  <si>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</si>
  <si>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</si>
  <si>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</si>
  <si>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</si>
  <si>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</si>
  <si>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</si>
  <si>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</si>
  <si>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</si>
  <si>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</si>
  <si>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</si>
  <si>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</si>
  <si>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</si>
  <si>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</si>
  <si>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</si>
  <si>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</si>
  <si>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</si>
  <si>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</si>
  <si>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</si>
  <si>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</si>
  <si>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</si>
  <si>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</si>
  <si>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</si>
  <si>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</si>
  <si>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</si>
  <si>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</si>
  <si>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</si>
  <si>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</si>
  <si>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</si>
  <si>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</si>
  <si>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</si>
  <si>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</si>
  <si>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</si>
  <si>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</si>
  <si>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</si>
  <si>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</si>
  <si>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</si>
  <si>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</si>
  <si>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</si>
  <si>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</si>
  <si>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</si>
  <si>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</si>
  <si>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</si>
  <si>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</si>
  <si>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</si>
  <si>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</si>
  <si>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</si>
  <si>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</si>
  <si>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</si>
  <si>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</si>
  <si>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</si>
  <si>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</si>
  <si>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</si>
  <si>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</si>
  <si>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</si>
  <si>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</si>
  <si>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</si>
  <si>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</si>
  <si>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</si>
  <si>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</si>
  <si>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</si>
  <si>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</si>
  <si>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</si>
  <si>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</si>
  <si>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</si>
  <si>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</si>
  <si>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</si>
  <si>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</si>
  <si>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</si>
  <si>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</si>
  <si>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</si>
  <si>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</si>
  <si>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</si>
  <si>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</si>
  <si>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</si>
  <si>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</si>
  <si>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</si>
  <si>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</si>
  <si>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</si>
  <si>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</si>
  <si>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</si>
  <si>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</si>
  <si>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</si>
  <si>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</si>
  <si>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</si>
  <si>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</si>
  <si>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</si>
  <si>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</si>
  <si>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</si>
  <si>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</si>
  <si>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</si>
  <si>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</si>
  <si>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</si>
  <si>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</si>
  <si>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</si>
  <si>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</si>
  <si>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</si>
  <si>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</si>
  <si>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</si>
  <si>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</si>
  <si>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</si>
  <si>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</si>
  <si>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</si>
  <si>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</si>
  <si>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</si>
  <si>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</si>
  <si>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</si>
  <si>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</si>
  <si>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</si>
  <si>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</si>
  <si>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</si>
  <si>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</si>
  <si>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</si>
  <si>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</si>
  <si>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</si>
  <si>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</si>
  <si>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</si>
  <si>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</si>
  <si>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</si>
  <si>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</si>
  <si>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</si>
  <si>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</si>
  <si>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</si>
  <si>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</si>
  <si>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</si>
  <si>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</si>
  <si>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</si>
  <si>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</si>
  <si>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</si>
  <si>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</si>
  <si>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</si>
  <si>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</si>
  <si>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</si>
  <si>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</si>
  <si>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</si>
  <si>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</si>
  <si>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</si>
  <si>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</si>
  <si>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</si>
  <si>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</si>
  <si>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</si>
  <si>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</si>
  <si>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</si>
  <si>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</si>
  <si>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</si>
  <si>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</si>
  <si>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</si>
  <si>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</si>
  <si>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</si>
  <si>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</si>
  <si>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</si>
  <si>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</si>
  <si>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</si>
  <si>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</si>
  <si>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</si>
  <si>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</si>
  <si>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</si>
  <si>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</si>
  <si>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</si>
  <si>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</si>
  <si>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</si>
  <si>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</si>
  <si>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</si>
  <si>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</si>
  <si>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</si>
  <si>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</si>
  <si>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</si>
  <si>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</si>
  <si>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</si>
  <si>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</si>
  <si>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</si>
  <si>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</si>
  <si>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</si>
  <si>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</si>
  <si>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</si>
  <si>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</si>
  <si>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</si>
  <si>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</si>
  <si>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</si>
  <si>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</si>
  <si>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</si>
  <si>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</si>
  <si>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</si>
  <si>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</si>
  <si>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</si>
  <si>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</si>
  <si>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</si>
  <si>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</si>
  <si>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</si>
  <si>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</si>
  <si>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</si>
  <si>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</si>
  <si>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</si>
  <si>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</si>
  <si>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</si>
  <si>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</si>
  <si>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</si>
  <si>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</si>
  <si>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</si>
  <si>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</si>
  <si>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</si>
  <si>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</si>
  <si>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</si>
  <si>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</si>
  <si>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</si>
  <si>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</si>
  <si>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</si>
  <si>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</si>
  <si>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</si>
  <si>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</si>
  <si>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</si>
  <si>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</si>
  <si>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</si>
  <si>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</si>
  <si>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</si>
  <si>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</si>
  <si>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</si>
  <si>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</si>
  <si>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</si>
  <si>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</si>
  <si>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</si>
  <si>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</si>
  <si>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</si>
  <si>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</si>
  <si>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</si>
  <si>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</si>
  <si>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</si>
  <si>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</si>
  <si>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</si>
  <si>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</si>
  <si>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</si>
  <si>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</si>
  <si>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</si>
  <si>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</si>
  <si>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</si>
  <si>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</si>
  <si>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</si>
  <si>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</si>
  <si>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</si>
  <si>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</si>
  <si>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</si>
  <si>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</si>
  <si>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</si>
  <si>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</si>
  <si>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</si>
  <si>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</si>
  <si>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</si>
  <si>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</si>
  <si>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</si>
  <si>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</si>
  <si>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</si>
  <si>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</si>
  <si>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</si>
  <si>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</si>
  <si>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</si>
  <si>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</si>
  <si>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</si>
  <si>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</si>
  <si>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</si>
  <si>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</si>
  <si>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</si>
  <si>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</si>
  <si>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</si>
  <si>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</si>
  <si>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</si>
  <si>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</si>
  <si>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</si>
  <si>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</si>
  <si>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</si>
  <si>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</si>
  <si>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</si>
  <si>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</si>
  <si>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</si>
  <si>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</si>
  <si>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</si>
  <si>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</si>
  <si>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</si>
  <si>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</si>
  <si>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</si>
  <si>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</si>
  <si>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</si>
  <si>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</si>
  <si>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</si>
  <si>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</si>
  <si>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</si>
  <si>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</si>
  <si>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</si>
  <si>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</si>
  <si>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</si>
  <si>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</si>
  <si>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</si>
  <si>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</si>
  <si>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</si>
  <si>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</si>
  <si>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</si>
  <si>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</si>
  <si>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</si>
  <si>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</si>
  <si>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</si>
  <si>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</si>
  <si>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</si>
  <si>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</si>
  <si>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</si>
  <si>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</si>
  <si>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</si>
  <si>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</si>
  <si>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</si>
  <si>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</si>
  <si>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</si>
  <si>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</si>
  <si>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</si>
  <si>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</si>
  <si>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</si>
  <si>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</si>
  <si>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</si>
  <si>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</si>
  <si>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</si>
  <si>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</si>
  <si>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</si>
  <si>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</si>
  <si>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</si>
  <si>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</si>
  <si>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</si>
  <si>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</si>
  <si>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</si>
  <si>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</si>
  <si>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</si>
  <si>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</si>
  <si>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</si>
  <si>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</si>
  <si>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</si>
  <si>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</si>
  <si>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</si>
  <si>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</si>
  <si>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</si>
  <si>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</si>
  <si>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</si>
  <si>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</si>
  <si>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</si>
  <si>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</si>
  <si>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</si>
  <si>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</si>
  <si>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</si>
  <si>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</si>
  <si>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</si>
  <si>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</si>
  <si>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</si>
  <si>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</si>
  <si>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</si>
  <si>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</si>
  <si>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</si>
  <si>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</si>
  <si>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</si>
  <si>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</si>
  <si>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</si>
  <si>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</si>
  <si>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</si>
  <si>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</si>
  <si>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</si>
  <si>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</si>
  <si>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</si>
  <si>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</si>
  <si>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</si>
  <si>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</si>
  <si>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</si>
  <si>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</si>
  <si>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</si>
  <si>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</si>
  <si>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</si>
  <si>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</si>
  <si>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</si>
  <si>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</si>
  <si>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</si>
  <si>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</si>
  <si>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</si>
  <si>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</si>
  <si>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</si>
  <si>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</si>
  <si>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</si>
  <si>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</si>
  <si>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</si>
  <si>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</si>
  <si>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</si>
  <si>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</si>
  <si>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</si>
  <si>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</si>
  <si>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</si>
  <si>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</si>
  <si>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</si>
  <si>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</si>
  <si>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</si>
  <si>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</si>
  <si>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</si>
  <si>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</si>
  <si>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</si>
  <si>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</si>
  <si>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</si>
  <si>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</si>
  <si>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</si>
  <si>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</si>
  <si>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</si>
  <si>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</si>
  <si>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</si>
  <si>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</si>
  <si>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</si>
  <si>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</si>
  <si>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</si>
  <si>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</si>
  <si>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</si>
  <si>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</si>
  <si>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</si>
  <si>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</si>
  <si>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</si>
  <si>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</si>
  <si>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</si>
  <si>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</si>
  <si>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</si>
  <si>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</si>
  <si>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</si>
  <si>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</si>
  <si>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</si>
  <si>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</si>
  <si>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</si>
  <si>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</si>
  <si>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</si>
  <si>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</si>
  <si>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</si>
  <si>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</si>
  <si>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</si>
  <si>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</si>
  <si>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</si>
  <si>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</si>
  <si>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</si>
  <si>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</si>
  <si>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</si>
  <si>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</si>
  <si>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</si>
  <si>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</si>
  <si>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</si>
  <si>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</si>
  <si>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</si>
  <si>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</si>
  <si>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</si>
  <si>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</si>
  <si>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</si>
  <si>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</si>
  <si>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</si>
  <si>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</si>
  <si>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</si>
  <si>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</si>
  <si>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</si>
  <si>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</si>
  <si>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</si>
  <si>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</si>
  <si>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</si>
  <si>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</si>
  <si>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</si>
  <si>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</si>
  <si>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</si>
  <si>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</si>
  <si>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</si>
  <si>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</si>
  <si>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</si>
  <si>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</si>
  <si>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</si>
  <si>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</si>
  <si>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</si>
  <si>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</si>
  <si>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</si>
  <si>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</si>
  <si>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</si>
  <si>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</si>
  <si>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</si>
  <si>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</si>
  <si>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</si>
  <si>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</si>
  <si>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</si>
  <si>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</si>
  <si>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</si>
  <si>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</si>
  <si>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</si>
  <si>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</si>
  <si>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</si>
  <si>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</si>
  <si>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</si>
  <si>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</si>
  <si>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</si>
  <si>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</si>
  <si>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</si>
  <si>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</si>
  <si>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</si>
  <si>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</si>
  <si>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</si>
  <si>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</si>
  <si>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</si>
  <si>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</si>
  <si>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</si>
  <si>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</si>
  <si>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</si>
  <si>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</si>
  <si>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</si>
  <si>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</si>
  <si>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</si>
  <si>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</si>
  <si>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</si>
  <si>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</si>
  <si>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</si>
  <si>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</si>
  <si>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</si>
  <si>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</si>
  <si>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</si>
  <si>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</si>
  <si>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</si>
  <si>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</si>
  <si>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</si>
  <si>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</si>
  <si>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</si>
  <si>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</si>
  <si>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</si>
  <si>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</si>
  <si>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</si>
  <si>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</si>
  <si>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</si>
  <si>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</si>
  <si>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</si>
  <si>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</si>
  <si>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</si>
  <si>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</si>
  <si>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</si>
  <si>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</si>
  <si>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</si>
  <si>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</si>
  <si>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</si>
  <si>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</si>
  <si>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</si>
  <si>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</si>
  <si>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</si>
  <si>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</si>
  <si>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</si>
  <si>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</si>
  <si>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</si>
  <si>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</si>
  <si>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</si>
  <si>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</si>
  <si>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</si>
  <si>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</si>
  <si>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</si>
  <si>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</si>
  <si>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</si>
  <si>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</si>
  <si>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</si>
  <si>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</si>
  <si>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</si>
  <si>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</si>
  <si>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</si>
  <si>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</si>
  <si>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</si>
  <si>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</si>
  <si>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</si>
  <si>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</si>
  <si>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</si>
  <si>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</si>
  <si>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</si>
  <si>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</si>
  <si>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</si>
  <si>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</si>
  <si>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</si>
  <si>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</si>
  <si>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</si>
  <si>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</si>
  <si>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</si>
  <si>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</si>
  <si>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</si>
  <si>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</si>
  <si>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</si>
  <si>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</si>
  <si>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</si>
  <si>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</si>
  <si>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</si>
  <si>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</si>
  <si>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</si>
  <si>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</si>
  <si>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</si>
  <si>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</si>
  <si>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</si>
  <si>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</si>
  <si>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</si>
  <si>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</si>
  <si>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</si>
  <si>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</si>
  <si>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</si>
  <si>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</si>
  <si>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</si>
  <si>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</si>
  <si>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</si>
  <si>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</si>
  <si>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</si>
  <si>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</si>
  <si>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</si>
  <si>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</si>
  <si>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</si>
  <si>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</si>
  <si>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</si>
  <si>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</si>
  <si>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</si>
  <si>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</si>
  <si>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</si>
  <si>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</si>
  <si>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</si>
  <si>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</si>
  <si>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</si>
  <si>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</si>
  <si>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</si>
  <si>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</si>
  <si>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</si>
  <si>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</si>
  <si>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</si>
  <si>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</si>
  <si>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</si>
  <si>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</si>
  <si>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</si>
  <si>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</si>
  <si>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</si>
  <si>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</si>
  <si>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</si>
  <si>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</si>
  <si>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</si>
  <si>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</si>
  <si>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</si>
  <si>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</si>
  <si>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</si>
  <si>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</si>
  <si>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</si>
  <si>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</si>
  <si>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</si>
  <si>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</si>
  <si>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</si>
  <si>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</si>
  <si>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</si>
  <si>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</si>
  <si>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</si>
  <si>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</si>
  <si>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</si>
  <si>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</si>
  <si>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</si>
  <si>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</si>
  <si>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</si>
  <si>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</si>
  <si>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</si>
  <si>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</si>
  <si>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</si>
  <si>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</si>
  <si>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</si>
  <si>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</si>
  <si>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</si>
  <si>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</si>
  <si>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</si>
  <si>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</si>
  <si>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</si>
  <si>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</si>
  <si>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</si>
  <si>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</si>
  <si>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</si>
  <si>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</si>
  <si>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</si>
  <si>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</si>
  <si>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</si>
  <si>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</si>
  <si>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</si>
  <si>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</si>
  <si>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</si>
  <si>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</si>
  <si>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</si>
  <si>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</si>
  <si>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</si>
  <si>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</si>
  <si>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</si>
  <si>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</si>
  <si>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</si>
  <si>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</si>
  <si>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</si>
  <si>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</si>
  <si>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</si>
  <si>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</si>
  <si>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</si>
  <si>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</si>
  <si>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</si>
  <si>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</si>
  <si>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</si>
  <si>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</si>
  <si>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</si>
  <si>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</si>
  <si>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</si>
  <si>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</si>
  <si>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</si>
  <si>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</si>
  <si>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</si>
  <si>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</si>
  <si>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</si>
  <si>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</si>
  <si>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</si>
  <si>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</si>
  <si>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</si>
  <si>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</si>
  <si>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</si>
  <si>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</si>
  <si>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</si>
  <si>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</si>
  <si>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</si>
  <si>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</si>
  <si>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</si>
  <si>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</si>
  <si>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</si>
  <si>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</si>
  <si>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</si>
  <si>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</si>
  <si>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</si>
  <si>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</si>
  <si>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</si>
  <si>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</si>
  <si>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</si>
  <si>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</si>
  <si>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</si>
  <si>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</si>
  <si>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</si>
  <si>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</si>
  <si>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</si>
  <si>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</si>
  <si>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</si>
  <si>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</si>
  <si>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</si>
  <si>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</si>
  <si>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</si>
  <si>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</si>
  <si>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</si>
  <si>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</si>
  <si>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</si>
  <si>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</si>
  <si>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</si>
  <si>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</si>
  <si>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</si>
  <si>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</si>
  <si>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</si>
  <si>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</si>
  <si>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</si>
  <si>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</si>
  <si>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</si>
  <si>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</si>
  <si>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</si>
  <si>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</si>
  <si>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</si>
  <si>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</si>
  <si>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</si>
  <si>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</si>
  <si>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</si>
  <si>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</si>
  <si>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</si>
  <si>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</si>
  <si>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</si>
  <si>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</si>
  <si>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</si>
  <si>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</si>
  <si>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</si>
  <si>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</si>
  <si>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</si>
  <si>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</si>
  <si>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</si>
  <si>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</si>
  <si>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</si>
  <si>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</si>
  <si>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</si>
  <si>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</si>
  <si>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</si>
  <si>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</si>
  <si>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</si>
  <si>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</si>
  <si>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</si>
  <si>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</si>
  <si>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</si>
  <si>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</si>
  <si>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</si>
  <si>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</si>
  <si>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</si>
  <si>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</si>
  <si>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</si>
  <si>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</si>
  <si>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</si>
  <si>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</si>
  <si>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</si>
  <si>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</si>
  <si>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</si>
  <si>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</si>
  <si>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</si>
  <si>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</si>
  <si>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</si>
  <si>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</si>
  <si>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</si>
  <si>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</si>
  <si>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</si>
  <si>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</si>
  <si>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</si>
  <si>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</si>
  <si>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</si>
  <si>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</si>
  <si>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</si>
  <si>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</si>
  <si>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</si>
  <si>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</si>
  <si>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</si>
  <si>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</si>
  <si>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</si>
  <si>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</si>
  <si>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</si>
  <si>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</si>
  <si>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</si>
  <si>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</si>
  <si>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</si>
  <si>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</si>
  <si>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</si>
  <si>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</si>
  <si>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</si>
  <si>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</si>
  <si>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</si>
  <si>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</si>
  <si>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</si>
  <si>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</si>
  <si>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</si>
  <si>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</si>
  <si>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</si>
  <si>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</si>
  <si>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</si>
  <si>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</si>
  <si>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</si>
  <si>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</si>
  <si>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</si>
  <si>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</si>
  <si>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</si>
  <si>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</si>
  <si>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</si>
  <si>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</si>
  <si>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</si>
  <si>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</si>
  <si>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</si>
  <si>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</si>
  <si>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</si>
  <si>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</si>
  <si>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</si>
  <si>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</si>
  <si>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</si>
  <si>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</si>
  <si>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</si>
  <si>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</si>
  <si>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</si>
  <si>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</si>
  <si>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</si>
  <si>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</si>
  <si>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</si>
  <si>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</si>
  <si>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</si>
  <si>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</si>
  <si>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</si>
  <si>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</si>
  <si>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</si>
  <si>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</si>
  <si>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</si>
  <si>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</si>
  <si>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</si>
  <si>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</si>
  <si>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</si>
  <si>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</si>
  <si>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</si>
  <si>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</si>
  <si>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</si>
  <si>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</si>
  <si>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</si>
  <si>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</si>
  <si>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</si>
  <si>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</si>
  <si>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</si>
  <si>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</si>
  <si>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</si>
  <si>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</si>
  <si>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</si>
  <si>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</si>
  <si>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</si>
  <si>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</si>
  <si>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</si>
  <si>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</si>
  <si>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</si>
  <si>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</si>
  <si>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</si>
  <si>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</si>
  <si>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</si>
  <si>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</si>
  <si>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</si>
  <si>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</si>
  <si>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</si>
  <si>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</si>
  <si>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</si>
  <si>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</si>
  <si>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</si>
  <si>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</si>
  <si>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</si>
  <si>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</si>
  <si>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</si>
  <si>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</si>
  <si>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</si>
  <si>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</si>
  <si>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</si>
  <si>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</si>
  <si>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</si>
  <si>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</si>
  <si>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</si>
  <si>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</si>
  <si>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</si>
  <si>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</si>
  <si>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</si>
  <si>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</si>
  <si>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</si>
  <si>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</si>
  <si>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</si>
  <si>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</si>
  <si>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</si>
  <si>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</si>
  <si>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</si>
  <si>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</si>
  <si>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</si>
  <si>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</si>
  <si>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</si>
  <si>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</si>
  <si>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</si>
  <si>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</si>
  <si>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</si>
  <si>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</si>
  <si>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</si>
  <si>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</si>
  <si>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</si>
  <si>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</si>
  <si>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</si>
  <si>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</si>
  <si>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</si>
  <si>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</si>
  <si>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</si>
  <si>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</si>
  <si>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</si>
  <si>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</si>
  <si>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</si>
  <si>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</si>
  <si>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</si>
  <si>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</si>
  <si>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</si>
  <si>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</si>
  <si>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</si>
  <si>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</si>
  <si>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</si>
  <si>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</si>
  <si>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</si>
  <si>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</si>
  <si>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</si>
  <si>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</si>
  <si>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</si>
  <si>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</si>
  <si>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</si>
  <si>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</si>
  <si>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</si>
  <si>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</si>
  <si>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</si>
  <si>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</si>
  <si>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</si>
  <si>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</si>
  <si>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</si>
  <si>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</si>
  <si>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</si>
  <si>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</si>
  <si>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</si>
  <si>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</si>
  <si>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</si>
  <si>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</si>
  <si>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</si>
  <si>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</si>
  <si>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</si>
  <si>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</si>
  <si>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</si>
  <si>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</si>
  <si>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</si>
  <si>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</si>
  <si>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</si>
  <si>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</si>
  <si>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</si>
  <si>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</si>
  <si>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</si>
  <si>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</si>
  <si>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</si>
  <si>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</si>
  <si>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</si>
  <si>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</si>
  <si>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</si>
  <si>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</si>
  <si>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</si>
  <si>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</si>
  <si>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</si>
  <si>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</si>
  <si>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</si>
  <si>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</si>
  <si>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</si>
  <si>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</si>
  <si>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</si>
  <si>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</si>
  <si>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</si>
  <si>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</si>
  <si>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</si>
  <si>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</si>
  <si>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</si>
  <si>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</si>
  <si>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</si>
  <si>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</si>
  <si>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</si>
  <si>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</si>
  <si>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</si>
  <si>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</si>
  <si>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</si>
  <si>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</si>
  <si>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</si>
  <si>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</si>
  <si>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</si>
  <si>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</si>
  <si>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</si>
  <si>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</si>
  <si>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</si>
  <si>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</si>
  <si>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</si>
  <si>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</si>
  <si>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</si>
  <si>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</si>
  <si>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</si>
  <si>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</si>
  <si>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</si>
  <si>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</si>
  <si>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</si>
  <si>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</si>
  <si>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</si>
  <si>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</si>
  <si>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</si>
  <si>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</si>
  <si>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</si>
  <si>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</si>
  <si>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</si>
  <si>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</si>
  <si>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</si>
  <si>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</si>
  <si>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</si>
  <si>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</si>
  <si>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</si>
  <si>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</si>
  <si>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</si>
  <si>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</si>
  <si>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</si>
  <si>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</si>
  <si>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</si>
  <si>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</si>
  <si>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</si>
  <si>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</si>
  <si>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</si>
  <si>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</si>
  <si>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</si>
  <si>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</si>
  <si>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</si>
  <si>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</si>
  <si>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</si>
  <si>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</si>
  <si>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</si>
  <si>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</si>
  <si>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</si>
  <si>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</si>
  <si>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</si>
  <si>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</si>
  <si>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</si>
  <si>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</si>
  <si>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</si>
  <si>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</si>
  <si>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</si>
  <si>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</si>
  <si>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</si>
  <si>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</si>
  <si>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</si>
  <si>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</si>
  <si>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</si>
  <si>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</si>
  <si>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</si>
  <si>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</si>
  <si>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</si>
  <si>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</si>
  <si>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</si>
  <si>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</si>
  <si>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</si>
  <si>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</si>
  <si>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</si>
  <si>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</si>
  <si>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</si>
  <si>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</si>
  <si>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</si>
  <si>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</si>
  <si>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</si>
  <si>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</si>
  <si>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</si>
  <si>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</si>
  <si>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</si>
  <si>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</si>
  <si>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</si>
  <si>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</si>
  <si>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</si>
  <si>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</si>
  <si>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</si>
  <si>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</si>
  <si>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</si>
  <si>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</si>
  <si>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</si>
  <si>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</si>
  <si>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</si>
  <si>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</si>
  <si>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</si>
  <si>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</si>
  <si>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</si>
  <si>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</si>
  <si>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</si>
  <si>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</si>
  <si>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</si>
  <si>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</si>
  <si>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</si>
  <si>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</si>
  <si>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</si>
  <si>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</si>
  <si>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</si>
  <si>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</si>
  <si>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</si>
  <si>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</si>
  <si>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</si>
  <si>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</si>
  <si>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</si>
  <si>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</si>
  <si>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</si>
  <si>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</si>
  <si>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</si>
  <si>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</si>
  <si>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</si>
  <si>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</si>
  <si>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</si>
  <si>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</si>
  <si>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</si>
  <si>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</si>
  <si>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</si>
  <si>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</si>
  <si>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</si>
  <si>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</si>
  <si>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</si>
  <si>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</si>
  <si>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</si>
  <si>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</si>
  <si>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</si>
  <si>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</si>
  <si>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</si>
  <si>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</si>
  <si>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</si>
  <si>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</si>
  <si>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</si>
  <si>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</si>
  <si>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</si>
  <si>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</si>
  <si>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</si>
  <si>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</si>
  <si>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</si>
  <si>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</si>
  <si>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</si>
  <si>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</si>
  <si>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</si>
  <si>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</si>
  <si>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</si>
  <si>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</si>
  <si>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</si>
  <si>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</si>
  <si>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</si>
  <si>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</si>
  <si>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</si>
  <si>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</si>
  <si>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</si>
  <si>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</si>
  <si>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</si>
  <si>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</si>
  <si>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</si>
  <si>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</si>
  <si>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</si>
  <si>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</si>
  <si>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</si>
  <si>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</si>
  <si>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</si>
  <si>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</si>
  <si>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</si>
  <si>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</si>
  <si>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</si>
  <si>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</si>
  <si>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</si>
  <si>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</si>
  <si>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</si>
  <si>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</si>
  <si>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</si>
  <si>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</si>
  <si>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</si>
  <si>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</si>
  <si>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</si>
  <si>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</si>
  <si>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</si>
  <si>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</si>
  <si>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</si>
  <si>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</si>
  <si>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</si>
  <si>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</si>
  <si>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</si>
  <si>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</si>
  <si>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</si>
  <si>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</si>
  <si>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</si>
  <si>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</si>
  <si>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</si>
  <si>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</si>
  <si>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</si>
  <si>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</si>
  <si>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</si>
  <si>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</si>
  <si>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</si>
  <si>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</si>
  <si>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</si>
  <si>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</si>
  <si>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</si>
  <si>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</si>
  <si>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</si>
  <si>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</si>
  <si>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</si>
  <si>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</si>
  <si>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</si>
  <si>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</si>
  <si>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</si>
  <si>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</si>
  <si>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</si>
  <si>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</si>
  <si>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</si>
  <si>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</si>
  <si>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</si>
  <si>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</si>
  <si>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</si>
  <si>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</si>
  <si>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</si>
  <si>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</si>
  <si>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</si>
  <si>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</si>
  <si>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</si>
  <si>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</si>
  <si>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</si>
  <si>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</si>
  <si>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</si>
  <si>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</si>
  <si>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</si>
  <si>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</si>
  <si>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</si>
  <si>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</si>
  <si>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</si>
  <si>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</si>
  <si>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</si>
  <si>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</si>
  <si>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</si>
  <si>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</si>
  <si>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</si>
  <si>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</si>
  <si>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</si>
  <si>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</si>
  <si>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</si>
  <si>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</si>
  <si>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</si>
  <si>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</si>
  <si>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</si>
  <si>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</si>
  <si>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</si>
  <si>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</si>
  <si>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</si>
  <si>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</si>
  <si>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</si>
  <si>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</si>
  <si>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</si>
  <si>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</si>
  <si>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</si>
  <si>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</si>
  <si>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</si>
  <si>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</si>
  <si>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</si>
  <si>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</si>
  <si>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</si>
  <si>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</si>
  <si>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</si>
  <si>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</si>
  <si>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</si>
  <si>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</si>
  <si>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</si>
  <si>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</si>
  <si>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</si>
  <si>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</si>
  <si>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</si>
  <si>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</si>
  <si>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</si>
  <si>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</si>
  <si>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</si>
  <si>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</si>
  <si>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</si>
  <si>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</si>
  <si>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</si>
  <si>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</si>
  <si>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</si>
  <si>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</si>
  <si>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</si>
  <si>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</si>
  <si>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</si>
  <si>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</si>
  <si>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</si>
  <si>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</si>
  <si>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</si>
  <si>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</si>
  <si>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</si>
  <si>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</si>
  <si>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</si>
  <si>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</si>
  <si>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</si>
  <si>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</si>
  <si>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</si>
  <si>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</si>
  <si>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</si>
  <si>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</si>
  <si>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</si>
  <si>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</si>
  <si>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</si>
  <si>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</si>
  <si>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</si>
  <si>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</si>
  <si>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</si>
  <si>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</si>
  <si>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</si>
  <si>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</si>
  <si>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</si>
  <si>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</si>
  <si>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</si>
  <si>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</si>
  <si>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</si>
  <si>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</si>
  <si>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</si>
  <si>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</si>
  <si>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</si>
  <si>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</si>
  <si>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</si>
  <si>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</si>
  <si>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</si>
  <si>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</si>
  <si>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</si>
  <si>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</si>
  <si>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</si>
  <si>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</si>
  <si>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</si>
  <si>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</si>
  <si>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</si>
  <si>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</si>
  <si>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</si>
  <si>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</si>
  <si>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</si>
  <si>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</si>
  <si>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</si>
  <si>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</si>
  <si>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</si>
  <si>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</si>
  <si>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</si>
  <si>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</si>
  <si>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</si>
  <si>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</si>
  <si>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</si>
  <si>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</si>
  <si>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</si>
  <si>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</si>
  <si>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</si>
  <si>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</si>
  <si>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</si>
  <si>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</si>
  <si>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</si>
  <si>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</si>
  <si>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</si>
  <si>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</si>
  <si>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</si>
  <si>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</si>
  <si>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</si>
  <si>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</si>
  <si>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</si>
  <si>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</si>
  <si>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</si>
  <si>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</si>
  <si>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</si>
  <si>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</si>
  <si>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</si>
  <si>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</si>
  <si>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</si>
  <si>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</si>
  <si>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</si>
  <si>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</si>
  <si>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</si>
  <si>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</si>
  <si>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</si>
  <si>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</si>
  <si>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</si>
  <si>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</si>
  <si>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</si>
  <si>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</si>
  <si>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</si>
  <si>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</si>
  <si>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</si>
  <si>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</si>
  <si>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</si>
  <si>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</si>
  <si>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</si>
  <si>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</si>
  <si>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</si>
  <si>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</si>
  <si>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</si>
  <si>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</si>
  <si>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</si>
  <si>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</si>
  <si>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</si>
  <si>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</si>
  <si>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</si>
  <si>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</si>
  <si>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</si>
  <si>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</si>
  <si>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</si>
  <si>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</si>
  <si>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</si>
  <si>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</si>
  <si>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</si>
  <si>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</si>
  <si>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</si>
  <si>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</si>
  <si>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</si>
  <si>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</si>
  <si>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</si>
  <si>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</si>
  <si>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</si>
  <si>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</si>
  <si>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</si>
  <si>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</si>
  <si>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</si>
  <si>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</si>
  <si>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</si>
  <si>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</si>
  <si>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</si>
  <si>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</si>
  <si>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</si>
  <si>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</si>
  <si>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</si>
  <si>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</si>
  <si>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</si>
  <si>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</si>
  <si>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</si>
  <si>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</si>
  <si>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</si>
  <si>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</si>
  <si>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</si>
  <si>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</si>
  <si>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</si>
  <si>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</si>
  <si>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</si>
  <si>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</si>
  <si>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</si>
  <si>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</si>
  <si>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</si>
  <si>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</si>
  <si>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</si>
  <si>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</si>
  <si>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</si>
  <si>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</si>
  <si>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</si>
  <si>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</si>
  <si>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</si>
  <si>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</si>
  <si>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</si>
  <si>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</si>
  <si>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</si>
  <si>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</si>
  <si>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</si>
  <si>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</si>
  <si>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</si>
  <si>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</si>
  <si>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</si>
  <si>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</si>
  <si>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</si>
  <si>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</si>
  <si>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</si>
  <si>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</si>
  <si>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</si>
  <si>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</si>
  <si>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</si>
  <si>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</si>
  <si>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</si>
  <si>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</si>
  <si>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</si>
  <si>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</si>
  <si>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</si>
  <si>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</si>
  <si>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</si>
  <si>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</si>
  <si>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</si>
  <si>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</si>
  <si>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</si>
  <si>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</si>
  <si>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</si>
  <si>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</si>
  <si>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</si>
  <si>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</si>
  <si>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</si>
  <si>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</si>
  <si>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</si>
  <si>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</si>
  <si>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</si>
  <si>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</si>
  <si>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</si>
  <si>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</si>
  <si>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</si>
  <si>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</si>
  <si>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</si>
  <si>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</si>
  <si>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</si>
  <si>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</si>
  <si>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</si>
  <si>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</si>
  <si>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</si>
  <si>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</si>
  <si>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</si>
  <si>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</si>
  <si>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</si>
  <si>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</si>
  <si>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</si>
  <si>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</si>
  <si>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</si>
  <si>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</si>
  <si>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</si>
  <si>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</si>
  <si>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</si>
  <si>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</si>
  <si>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</si>
  <si>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</si>
  <si>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</si>
  <si>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</si>
  <si>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</si>
  <si>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</si>
  <si>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</si>
  <si>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</si>
  <si>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</si>
  <si>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</si>
  <si>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</si>
  <si>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</si>
  <si>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</si>
  <si>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</si>
  <si>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</si>
  <si>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</si>
  <si>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</si>
  <si>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</si>
  <si>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</si>
  <si>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</si>
  <si>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</si>
  <si>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</si>
  <si>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</si>
  <si>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</si>
  <si>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</si>
  <si>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</si>
  <si>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</si>
  <si>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</si>
  <si>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</si>
  <si>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</si>
  <si>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</si>
  <si>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</si>
  <si>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</si>
  <si>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</si>
  <si>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</si>
  <si>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</si>
  <si>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</si>
  <si>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</si>
  <si>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</si>
  <si>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</si>
  <si>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</si>
  <si>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</si>
  <si>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</si>
  <si>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</si>
  <si>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</si>
  <si>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</si>
  <si>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</si>
  <si>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</si>
  <si>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</si>
  <si>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</si>
  <si>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</si>
  <si>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</si>
  <si>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</si>
  <si>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</si>
  <si>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</si>
  <si>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</si>
  <si>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</si>
  <si>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</si>
  <si>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</si>
  <si>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</si>
  <si>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</si>
  <si>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</si>
  <si>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</si>
  <si>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</si>
  <si>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</si>
  <si>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</si>
  <si>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</si>
  <si>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</si>
  <si>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</si>
  <si>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</si>
  <si>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</si>
  <si>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</si>
  <si>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</si>
  <si>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</si>
  <si>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</si>
  <si>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</si>
  <si>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</si>
  <si>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</si>
  <si>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</si>
  <si>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</si>
  <si>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</si>
  <si>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</si>
  <si>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</si>
  <si>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</si>
  <si>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</si>
  <si>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</si>
  <si>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</si>
  <si>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</si>
  <si>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</si>
  <si>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</si>
  <si>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</si>
  <si>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</si>
  <si>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</si>
  <si>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</si>
  <si>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</si>
  <si>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</si>
  <si>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</si>
  <si>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</si>
  <si>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</si>
  <si>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</si>
  <si>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</si>
  <si>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</si>
  <si>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</si>
  <si>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</si>
  <si>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</si>
  <si>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</si>
  <si>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</si>
  <si>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</si>
  <si>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</si>
  <si>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</si>
  <si>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</si>
  <si>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</si>
  <si>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</si>
  <si>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</si>
  <si>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</si>
  <si>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</si>
  <si>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</si>
  <si>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</si>
  <si>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</si>
  <si>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</si>
  <si>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</si>
  <si>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</si>
  <si>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</si>
  <si>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</si>
  <si>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</si>
  <si>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</si>
  <si>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</si>
  <si>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</si>
  <si>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</si>
  <si>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</si>
  <si>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</si>
  <si>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</si>
  <si>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</si>
  <si>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</si>
  <si>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</si>
  <si>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</si>
  <si>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</si>
  <si>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</si>
  <si>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</si>
  <si>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</si>
  <si>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</si>
  <si>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</si>
  <si>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</si>
  <si>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</si>
  <si>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</si>
  <si>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</si>
  <si>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</si>
  <si>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</si>
  <si>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</si>
  <si>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</si>
  <si>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</si>
  <si>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</si>
  <si>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</si>
  <si>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</si>
  <si>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</si>
  <si>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</si>
  <si>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</si>
  <si>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</si>
  <si>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</si>
  <si>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</si>
  <si>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</si>
  <si>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</si>
  <si>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</si>
  <si>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</si>
  <si>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</si>
  <si>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</si>
  <si>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</si>
  <si>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</si>
  <si>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</si>
  <si>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</si>
  <si>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</si>
  <si>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</si>
  <si>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</si>
  <si>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</si>
  <si>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</si>
  <si>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</si>
  <si>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</si>
  <si>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</si>
  <si>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</si>
  <si>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</si>
  <si>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</si>
  <si>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</si>
  <si>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</si>
  <si>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</si>
  <si>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</si>
  <si>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</si>
  <si>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</si>
  <si>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</si>
  <si>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</si>
  <si>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</si>
  <si>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</si>
  <si>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</si>
  <si>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</si>
  <si>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</si>
  <si>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</si>
  <si>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</si>
  <si>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</si>
  <si>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</si>
  <si>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</si>
  <si>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</si>
  <si>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</si>
  <si>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</si>
  <si>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</si>
  <si>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</si>
  <si>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</si>
  <si>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</si>
  <si>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</si>
  <si>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</si>
  <si>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</si>
  <si>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</si>
  <si>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</si>
  <si>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</si>
  <si>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</si>
  <si>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</si>
  <si>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</si>
  <si>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</si>
  <si>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</si>
  <si>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</si>
  <si>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</si>
  <si>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</si>
  <si>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</si>
  <si>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</si>
  <si>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</si>
  <si>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</si>
  <si>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</si>
  <si>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</si>
  <si>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</si>
  <si>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</si>
  <si>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</si>
  <si>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</si>
  <si>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</si>
  <si>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</si>
  <si>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</si>
  <si>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</si>
  <si>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</si>
  <si>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</si>
  <si>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</si>
  <si>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</si>
  <si>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</si>
  <si>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</si>
  <si>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</si>
  <si>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</si>
  <si>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</si>
  <si>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</si>
  <si>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</si>
  <si>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</si>
  <si>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</si>
  <si>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</si>
  <si>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</si>
  <si>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</si>
  <si>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</si>
  <si>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</si>
  <si>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</si>
  <si>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</si>
  <si>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</si>
  <si>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</si>
  <si>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</si>
  <si>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</si>
  <si>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</si>
  <si>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</si>
  <si>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</si>
  <si>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</si>
  <si>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</si>
  <si>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</si>
  <si>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</si>
  <si>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</si>
  <si>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</si>
  <si>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</si>
  <si>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</si>
  <si>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</si>
  <si>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</si>
  <si>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</si>
  <si>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</si>
  <si>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</si>
  <si>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</si>
  <si>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</si>
  <si>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</si>
  <si>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</si>
  <si>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</si>
  <si>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</si>
  <si>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</si>
  <si>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</si>
  <si>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</si>
  <si>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</si>
  <si>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</si>
  <si>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</si>
  <si>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</si>
  <si>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</si>
  <si>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</si>
  <si>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</si>
  <si>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</si>
  <si>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</si>
  <si>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</si>
  <si>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</si>
  <si>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</si>
  <si>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</si>
  <si>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</si>
  <si>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</si>
  <si>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</si>
  <si>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</si>
  <si>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</si>
  <si>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</si>
  <si>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</si>
  <si>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</si>
  <si>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</si>
  <si>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</si>
  <si>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</si>
  <si>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</si>
  <si>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</si>
  <si>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</si>
  <si>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</si>
  <si>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</si>
  <si>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</si>
  <si>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</si>
  <si>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</si>
  <si>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</si>
  <si>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</si>
  <si>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</si>
  <si>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</si>
  <si>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</si>
  <si>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</si>
  <si>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</si>
  <si>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</si>
  <si>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</si>
  <si>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</si>
  <si>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</si>
  <si>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</si>
  <si>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</si>
  <si>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</si>
  <si>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</si>
  <si>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</si>
  <si>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</si>
  <si>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</si>
  <si>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</si>
  <si>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</si>
  <si>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</si>
  <si>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</si>
  <si>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</si>
  <si>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</si>
  <si>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</si>
  <si>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</si>
  <si>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</si>
  <si>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</si>
  <si>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</si>
  <si>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</si>
  <si>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</si>
  <si>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</si>
  <si>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</si>
  <si>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</si>
  <si>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</si>
  <si>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</si>
  <si>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</si>
  <si>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</si>
  <si>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</si>
  <si>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</si>
  <si>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</si>
  <si>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</si>
  <si>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</si>
  <si>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</si>
  <si>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</si>
  <si>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</si>
  <si>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</si>
  <si>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</si>
  <si>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</si>
  <si>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</si>
  <si>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</si>
  <si>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</si>
  <si>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</si>
  <si>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</si>
  <si>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</si>
  <si>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</si>
  <si>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</si>
  <si>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</si>
  <si>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</si>
  <si>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</si>
  <si>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</si>
  <si>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</si>
  <si>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</si>
  <si>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</si>
  <si>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</si>
  <si>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</si>
  <si>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</si>
  <si>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</si>
  <si>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</si>
  <si>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</si>
  <si>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</si>
  <si>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</si>
  <si>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</si>
  <si>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</si>
  <si>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</si>
  <si>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</si>
  <si>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</si>
  <si>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</si>
  <si>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</si>
  <si>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</si>
  <si>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</si>
  <si>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</si>
  <si>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</si>
  <si>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</si>
  <si>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</si>
  <si>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</si>
  <si>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</si>
  <si>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</si>
  <si>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</si>
  <si>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</si>
  <si>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</si>
  <si>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</si>
  <si>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</si>
  <si>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</si>
  <si>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</si>
  <si>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</si>
  <si>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</si>
  <si>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</si>
  <si>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</si>
  <si>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</si>
  <si>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</si>
  <si>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</si>
  <si>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</si>
  <si>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</si>
  <si>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</si>
  <si>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</si>
  <si>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</si>
  <si>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</si>
  <si>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</si>
  <si>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</si>
  <si>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</si>
  <si>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</si>
  <si>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</si>
  <si>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</si>
  <si>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</si>
  <si>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</si>
  <si>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</si>
  <si>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</si>
  <si>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</si>
  <si>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</si>
  <si>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</si>
  <si>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</si>
  <si>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</si>
  <si>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</si>
  <si>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</si>
  <si>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</si>
  <si>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</si>
  <si>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</si>
  <si>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</si>
  <si>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</si>
  <si>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</si>
  <si>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</si>
  <si>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</si>
  <si>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</si>
  <si>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</si>
  <si>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</si>
  <si>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</si>
  <si>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</si>
  <si>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</si>
  <si>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</si>
  <si>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</si>
  <si>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</si>
  <si>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</si>
  <si>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</si>
  <si>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</si>
  <si>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</si>
  <si>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</si>
  <si>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</si>
  <si>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</si>
  <si>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</si>
  <si>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</si>
  <si>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</si>
  <si>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</si>
  <si>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</si>
  <si>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</si>
  <si>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</si>
  <si>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</si>
  <si>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</si>
  <si>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</si>
  <si>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</si>
  <si>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</si>
  <si>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</si>
  <si>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</si>
  <si>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</si>
  <si>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</si>
  <si>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</si>
  <si>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</si>
  <si>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</si>
  <si>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</si>
  <si>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</si>
  <si>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</si>
  <si>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</si>
  <si>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</si>
  <si>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</si>
  <si>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</si>
  <si>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</si>
  <si>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</si>
  <si>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</si>
  <si>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</si>
  <si>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</si>
  <si>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</si>
  <si>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</si>
  <si>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</si>
  <si>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</si>
  <si>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</si>
  <si>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</si>
  <si>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</si>
  <si>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</si>
  <si>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</si>
  <si>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</si>
  <si>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</si>
  <si>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</si>
  <si>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</si>
  <si>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</si>
  <si>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</si>
  <si>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</si>
  <si>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</si>
  <si>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</si>
  <si>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</si>
  <si>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</si>
  <si>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</si>
  <si>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</si>
  <si>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</si>
  <si>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</si>
  <si>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</si>
  <si>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</si>
  <si>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</si>
  <si>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</si>
  <si>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</si>
  <si>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</si>
  <si>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</si>
  <si>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</si>
  <si>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</si>
  <si>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</si>
  <si>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</si>
  <si>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</si>
  <si>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</si>
  <si>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</si>
  <si>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</si>
  <si>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</si>
  <si>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</si>
  <si>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</si>
  <si>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</si>
  <si>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</si>
  <si>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</si>
  <si>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</si>
  <si>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</si>
  <si>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</si>
  <si>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</si>
  <si>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</si>
  <si>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</si>
  <si>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</si>
  <si>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</si>
  <si>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</si>
  <si>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</si>
  <si>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</si>
  <si>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</si>
  <si>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</si>
  <si>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</si>
  <si>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</si>
  <si>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</si>
  <si>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</si>
  <si>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</si>
  <si>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</si>
  <si>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</si>
  <si>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</si>
  <si>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</si>
  <si>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</si>
  <si>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</si>
  <si>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</si>
  <si>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</si>
  <si>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</si>
  <si>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</si>
  <si>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</si>
  <si>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</si>
  <si>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</si>
  <si>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</si>
  <si>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</si>
  <si>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</si>
  <si>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</si>
  <si>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</si>
  <si>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</si>
  <si>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</si>
  <si>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</si>
  <si>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</si>
  <si>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</si>
  <si>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</si>
  <si>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</si>
  <si>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</si>
  <si>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</si>
  <si>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</si>
  <si>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</si>
  <si>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</si>
  <si>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</si>
  <si>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</si>
  <si>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</si>
  <si>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</si>
  <si>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</si>
  <si>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</si>
  <si>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</si>
  <si>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</si>
  <si>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</si>
  <si>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</si>
  <si>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</si>
  <si>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</si>
  <si>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</si>
  <si>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</si>
  <si>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</si>
  <si>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</si>
  <si>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</si>
  <si>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</si>
  <si>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</si>
  <si>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</si>
  <si>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</si>
  <si>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</si>
  <si>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</si>
  <si>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</si>
  <si>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</si>
  <si>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</si>
  <si>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</si>
  <si>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</si>
  <si>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</si>
  <si>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</si>
  <si>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</si>
  <si>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</si>
  <si>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</si>
  <si>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</si>
  <si>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</si>
  <si>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</si>
  <si>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</si>
  <si>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</si>
  <si>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</si>
  <si>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</si>
  <si>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</si>
  <si>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</si>
  <si>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</si>
  <si>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</si>
  <si>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</si>
  <si>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</si>
  <si>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</si>
  <si>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</si>
  <si>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</si>
  <si>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</si>
  <si>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</si>
  <si>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</si>
  <si>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</si>
  <si>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</si>
  <si>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</si>
  <si>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</si>
  <si>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</si>
  <si>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</si>
  <si>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</si>
  <si>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</si>
  <si>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</si>
  <si>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</si>
  <si>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</si>
  <si>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</si>
  <si>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</si>
  <si>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</si>
  <si>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</si>
  <si>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</si>
  <si>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</si>
  <si>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</si>
  <si>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</si>
  <si>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</si>
  <si>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</si>
  <si>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</si>
  <si>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</si>
  <si>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</si>
  <si>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</si>
  <si>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</si>
  <si>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</si>
  <si>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</si>
  <si>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</si>
  <si>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</si>
  <si>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</si>
  <si>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</si>
  <si>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</si>
  <si>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</si>
  <si>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</si>
  <si>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</si>
  <si>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</si>
  <si>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</si>
  <si>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</si>
  <si>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</si>
  <si>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</si>
  <si>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</si>
  <si>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</si>
  <si>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</si>
  <si>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</si>
  <si>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</si>
  <si>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</si>
  <si>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</si>
  <si>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</si>
  <si>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</si>
  <si>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</si>
  <si>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</si>
  <si>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</si>
  <si>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</si>
  <si>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</si>
  <si>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</si>
  <si>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</si>
  <si>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</si>
  <si>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</si>
  <si>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</si>
  <si>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</si>
  <si>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</si>
  <si>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</si>
  <si>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</si>
  <si>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</si>
  <si>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</si>
  <si>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</si>
  <si>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</si>
  <si>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</si>
  <si>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</si>
  <si>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</si>
  <si>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</si>
  <si>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</si>
  <si>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</si>
  <si>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</si>
  <si>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</si>
  <si>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</si>
  <si>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</si>
  <si>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</si>
  <si>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</si>
  <si>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</si>
  <si>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</si>
  <si>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</si>
  <si>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</si>
  <si>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</si>
  <si>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</si>
  <si>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</si>
  <si>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</si>
  <si>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</si>
  <si>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</si>
  <si>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</si>
  <si>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</si>
  <si>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</si>
  <si>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</si>
  <si>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</si>
  <si>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</si>
  <si>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</si>
  <si>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</si>
  <si>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</si>
  <si>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</si>
  <si>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</si>
  <si>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</si>
  <si>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</si>
  <si>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</si>
  <si>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</si>
  <si>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</si>
  <si>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</si>
  <si>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</si>
  <si>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</si>
  <si>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</si>
  <si>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</si>
  <si>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</si>
  <si>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</si>
  <si>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</si>
  <si>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</si>
  <si>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</si>
  <si>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</si>
  <si>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</si>
  <si>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</si>
  <si>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</si>
  <si>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</si>
  <si>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</si>
  <si>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</si>
  <si>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</si>
  <si>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</si>
  <si>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</si>
  <si>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</si>
  <si>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</si>
  <si>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</si>
  <si>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</si>
  <si>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</si>
  <si>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</si>
  <si>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</si>
  <si>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</si>
  <si>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</si>
  <si>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</si>
  <si>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</si>
  <si>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</si>
  <si>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</si>
  <si>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</si>
  <si>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</si>
  <si>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</si>
  <si>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</si>
  <si>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</si>
  <si>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</si>
  <si>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</si>
  <si>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</si>
  <si>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</si>
  <si>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</si>
  <si>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</si>
  <si>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</si>
  <si>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</si>
  <si>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</si>
  <si>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</si>
  <si>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</si>
  <si>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</si>
  <si>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</si>
  <si>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</si>
  <si>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</si>
  <si>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</si>
  <si>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</si>
  <si>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</si>
  <si>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</si>
  <si>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</si>
  <si>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</si>
  <si>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</si>
  <si>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</si>
  <si>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</si>
  <si>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</si>
  <si>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</si>
  <si>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</si>
  <si>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</si>
  <si>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</si>
  <si>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</si>
  <si>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</si>
  <si>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</si>
  <si>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</si>
  <si>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</si>
  <si>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</si>
  <si>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</si>
  <si>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</si>
  <si>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</si>
  <si>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</si>
  <si>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</si>
  <si>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</si>
  <si>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</si>
  <si>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</si>
  <si>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</si>
  <si>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</si>
  <si>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</si>
  <si>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</si>
  <si>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</si>
  <si>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</si>
  <si>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</si>
  <si>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</si>
  <si>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</si>
  <si>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</si>
  <si>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</si>
  <si>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</si>
  <si>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</si>
  <si>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</si>
  <si>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</si>
  <si>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</si>
  <si>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</si>
  <si>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</si>
  <si>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</si>
  <si>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</si>
  <si>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</si>
  <si>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</si>
  <si>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</si>
  <si>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</si>
  <si>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</si>
  <si>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</si>
  <si>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</si>
  <si>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</si>
  <si>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</si>
  <si>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</si>
  <si>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</si>
  <si>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</si>
  <si>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</si>
  <si>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</si>
  <si>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</si>
  <si>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</si>
  <si>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</si>
  <si>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</si>
  <si>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</si>
  <si>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</si>
  <si>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</si>
  <si>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</si>
  <si>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</si>
  <si>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</si>
  <si>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</si>
  <si>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</si>
  <si>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</si>
  <si>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</si>
  <si>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</si>
  <si>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</si>
  <si>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</si>
  <si>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</si>
  <si>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</si>
  <si>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</si>
  <si>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</si>
  <si>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</si>
  <si>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</si>
  <si>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</si>
  <si>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</si>
  <si>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</si>
  <si>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</si>
  <si>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</si>
  <si>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</si>
  <si>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</si>
  <si>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</si>
  <si>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</si>
  <si>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</si>
  <si>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</si>
  <si>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</si>
  <si>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</si>
  <si>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</si>
  <si>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</si>
  <si>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</si>
  <si>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</si>
  <si>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</si>
  <si>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</si>
  <si>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</si>
  <si>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</si>
  <si>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</si>
  <si>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</si>
  <si>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</si>
  <si>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</si>
  <si>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</si>
  <si>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</si>
  <si>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</si>
  <si>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</si>
  <si>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</si>
  <si>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</si>
  <si>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</si>
  <si>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</si>
  <si>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</si>
  <si>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</si>
  <si>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</si>
  <si>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</si>
  <si>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</si>
  <si>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</si>
  <si>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</si>
  <si>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</si>
  <si>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</si>
  <si>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</si>
  <si>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</si>
  <si>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</si>
  <si>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</si>
  <si>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</si>
  <si>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</si>
  <si>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</si>
  <si>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</si>
  <si>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</si>
  <si>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</si>
  <si>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</si>
  <si>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</si>
  <si>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</si>
  <si>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</si>
  <si>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</si>
  <si>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</si>
  <si>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</si>
  <si>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</si>
  <si>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</si>
  <si>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</si>
  <si>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</si>
  <si>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</si>
  <si>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</si>
  <si>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</si>
  <si>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</si>
  <si>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</si>
  <si>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</si>
  <si>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</si>
  <si>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</si>
  <si>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</si>
  <si>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</si>
  <si>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</si>
  <si>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</si>
  <si>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</si>
  <si>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</si>
  <si>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</si>
  <si>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</si>
  <si>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</si>
  <si>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</si>
  <si>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</si>
  <si>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</si>
  <si>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</si>
  <si>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</si>
  <si>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</si>
  <si>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</si>
  <si>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</si>
  <si>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</si>
  <si>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</si>
  <si>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</si>
  <si>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</si>
  <si>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</si>
  <si>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</si>
  <si>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</si>
  <si>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</si>
  <si>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</si>
  <si>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</si>
  <si>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</si>
  <si>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</si>
  <si>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</si>
  <si>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</si>
  <si>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</si>
  <si>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</si>
  <si>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</si>
  <si>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</si>
  <si>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</si>
  <si>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</si>
  <si>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</si>
  <si>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</si>
  <si>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</si>
  <si>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</si>
  <si>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</si>
  <si>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</si>
  <si>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</si>
  <si>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</si>
  <si>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</si>
  <si>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</si>
  <si>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</si>
  <si>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</si>
  <si>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</si>
  <si>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</si>
  <si>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</si>
  <si>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</si>
  <si>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</si>
  <si>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</si>
  <si>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</si>
  <si>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</si>
  <si>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</si>
  <si>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</si>
  <si>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</si>
  <si>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</si>
  <si>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</si>
  <si>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</si>
  <si>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</si>
  <si>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</si>
  <si>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</si>
  <si>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</si>
  <si>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</si>
  <si>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</si>
  <si>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</si>
  <si>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</si>
  <si>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</si>
  <si>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</si>
  <si>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</si>
  <si>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</si>
  <si>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</si>
  <si>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</si>
  <si>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</si>
  <si>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</si>
  <si>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</si>
  <si>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</si>
  <si>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</si>
  <si>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</si>
  <si>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</si>
  <si>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</si>
  <si>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</si>
  <si>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</si>
  <si>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</si>
  <si>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</si>
  <si>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</si>
  <si>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</si>
  <si>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</si>
  <si>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</si>
  <si>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</si>
  <si>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</si>
  <si>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</si>
  <si>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</si>
  <si>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</si>
  <si>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</si>
  <si>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</si>
  <si>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</si>
  <si>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</si>
  <si>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</si>
  <si>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</si>
  <si>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</si>
  <si>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</si>
  <si>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</si>
  <si>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</si>
  <si>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</si>
  <si>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</si>
  <si>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</si>
  <si>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</si>
  <si>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</si>
  <si>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</si>
  <si>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</si>
  <si>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</si>
  <si>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</si>
  <si>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</si>
  <si>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</si>
  <si>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</si>
  <si>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</si>
  <si>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</si>
  <si>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</si>
  <si>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</si>
  <si>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</si>
  <si>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</si>
  <si>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</si>
  <si>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</si>
  <si>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</si>
  <si>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</si>
  <si>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</si>
  <si>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</si>
  <si>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</si>
  <si>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</si>
  <si>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</si>
  <si>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</si>
  <si>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</si>
  <si>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</si>
  <si>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</si>
  <si>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</si>
  <si>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</si>
  <si>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</si>
  <si>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</si>
  <si>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</si>
  <si>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</si>
  <si>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</si>
  <si>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</si>
  <si>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</si>
  <si>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</si>
  <si>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</si>
  <si>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</si>
  <si>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</si>
  <si>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</si>
  <si>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</si>
  <si>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</si>
  <si>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</si>
  <si>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</si>
  <si>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</si>
  <si>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</si>
  <si>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</si>
  <si>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</si>
  <si>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</si>
  <si>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</si>
  <si>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</si>
  <si>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</si>
  <si>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</si>
  <si>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</si>
  <si>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</si>
  <si>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</si>
  <si>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</si>
  <si>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</si>
  <si>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</si>
  <si>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</si>
  <si>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</si>
  <si>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</si>
  <si>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</si>
  <si>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</si>
  <si>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</si>
  <si>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</si>
  <si>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</si>
  <si>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</si>
  <si>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</si>
  <si>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</si>
  <si>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</si>
  <si>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</si>
  <si>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</si>
  <si>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</si>
  <si>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</si>
  <si>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</si>
  <si>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</si>
  <si>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</si>
  <si>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</si>
  <si>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</si>
  <si>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</si>
  <si>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</si>
  <si>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</si>
  <si>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</si>
  <si>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</si>
  <si>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</si>
  <si>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</si>
  <si>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</si>
  <si>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</si>
  <si>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</si>
  <si>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</si>
  <si>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</si>
  <si>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</si>
  <si>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</si>
  <si>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</si>
  <si>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</si>
  <si>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</si>
  <si>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</si>
  <si>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</si>
  <si>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</si>
  <si>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</si>
  <si>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</si>
  <si>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</si>
  <si>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</si>
  <si>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</si>
  <si>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</si>
  <si>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</si>
  <si>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</si>
  <si>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</si>
  <si>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</si>
  <si>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</si>
  <si>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</si>
  <si>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</si>
  <si>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</si>
  <si>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</si>
  <si>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</si>
  <si>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</si>
  <si>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</si>
  <si>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</si>
  <si>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</si>
  <si>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</si>
  <si>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</si>
  <si>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</si>
  <si>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</si>
  <si>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</si>
  <si>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</si>
  <si>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</si>
  <si>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</si>
  <si>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</si>
  <si>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</si>
  <si>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</si>
  <si>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</si>
  <si>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</si>
  <si>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</si>
  <si>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</si>
  <si>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</si>
  <si>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</si>
  <si>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</si>
  <si>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</si>
  <si>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</si>
  <si>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</si>
  <si>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</si>
  <si>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</si>
  <si>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</si>
  <si>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</si>
  <si>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</si>
  <si>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</si>
  <si>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</si>
  <si>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</si>
  <si>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</si>
  <si>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</si>
  <si>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</si>
  <si>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</si>
  <si>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</si>
  <si>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</si>
  <si>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</si>
  <si>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</si>
  <si>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</si>
  <si>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</si>
  <si>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</si>
  <si>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</si>
  <si>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</si>
  <si>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</si>
  <si>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</si>
  <si>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</si>
  <si>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</si>
  <si>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</si>
  <si>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</si>
  <si>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</si>
  <si>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</si>
  <si>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</si>
  <si>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</si>
  <si>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</si>
  <si>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</si>
  <si>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</si>
  <si>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</si>
  <si>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</si>
  <si>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</si>
  <si>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</si>
  <si>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</si>
  <si>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</si>
  <si>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</si>
  <si>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</si>
  <si>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</si>
  <si>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</si>
  <si>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</si>
  <si>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</si>
  <si>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</si>
  <si>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</si>
  <si>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</si>
  <si>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</si>
  <si>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</si>
  <si>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</si>
  <si>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</si>
  <si>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</si>
  <si>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</si>
  <si>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</si>
  <si>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</si>
  <si>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</si>
  <si>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</si>
  <si>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</si>
  <si>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</si>
  <si>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</si>
  <si>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</si>
  <si>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</si>
  <si>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</si>
  <si>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</si>
  <si>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</si>
  <si>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</si>
  <si>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</si>
  <si>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</si>
  <si>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</si>
  <si>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</si>
  <si>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</si>
  <si>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</si>
  <si>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</si>
  <si>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</si>
  <si>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</si>
  <si>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</si>
  <si>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</si>
  <si>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</si>
  <si>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</si>
  <si>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</si>
  <si>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</si>
  <si>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</si>
  <si>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</si>
  <si>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</si>
  <si>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</si>
  <si>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</si>
  <si>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</si>
  <si>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</si>
  <si>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</si>
  <si>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</si>
  <si>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</si>
  <si>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</si>
  <si>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</si>
  <si>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</si>
  <si>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</si>
  <si>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</si>
  <si>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</si>
  <si>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</si>
  <si>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</si>
  <si>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</si>
  <si>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</si>
  <si>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</si>
  <si>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</si>
  <si>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</si>
  <si>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</si>
  <si>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</si>
  <si>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</si>
  <si>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</si>
  <si>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</si>
  <si>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</si>
  <si>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</si>
  <si>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</si>
  <si>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</si>
  <si>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</si>
  <si>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</si>
  <si>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</si>
  <si>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</si>
  <si>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</si>
  <si>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</si>
  <si>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</si>
  <si>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</si>
  <si>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</si>
  <si>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</si>
  <si>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</si>
  <si>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</si>
  <si>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</si>
  <si>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</si>
  <si>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</si>
  <si>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</si>
  <si>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</si>
  <si>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</si>
  <si>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</si>
  <si>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</si>
  <si>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</si>
  <si>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</si>
  <si>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</si>
  <si>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</si>
  <si>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</si>
  <si>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</si>
  <si>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</si>
  <si>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</si>
  <si>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</si>
  <si>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</si>
  <si>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</si>
  <si>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</si>
  <si>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</si>
  <si>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</si>
  <si>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</si>
  <si>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</si>
  <si>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</si>
  <si>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</si>
  <si>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</si>
  <si>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</si>
  <si>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</si>
  <si>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</si>
  <si>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</si>
  <si>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</si>
  <si>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</si>
  <si>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</si>
  <si>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</si>
  <si>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</si>
  <si>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</si>
  <si>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</si>
  <si>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</si>
  <si>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</si>
  <si>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</si>
  <si>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</si>
  <si>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</si>
  <si>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</si>
  <si>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</si>
  <si>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</si>
  <si>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</si>
  <si>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</si>
  <si>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</si>
  <si>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</si>
  <si>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</si>
  <si>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</si>
  <si>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</si>
  <si>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</si>
  <si>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</si>
  <si>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</si>
  <si>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</si>
  <si>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</si>
  <si>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</si>
  <si>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</si>
  <si>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</si>
  <si>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</si>
  <si>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</si>
  <si>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</si>
  <si>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</si>
  <si>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</si>
  <si>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</si>
  <si>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</si>
  <si>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</si>
  <si>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</si>
  <si>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</si>
  <si>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</si>
  <si>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</si>
  <si>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</si>
  <si>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</si>
  <si>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</si>
  <si>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</si>
  <si>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</si>
  <si>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</si>
  <si>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</si>
  <si>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</si>
  <si>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</si>
  <si>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</si>
  <si>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</si>
  <si>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</si>
  <si>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</si>
  <si>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</si>
  <si>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</si>
  <si>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</si>
  <si>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</si>
  <si>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</si>
  <si>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</si>
  <si>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</si>
  <si>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</si>
  <si>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</si>
  <si>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</si>
  <si>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</si>
  <si>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</si>
  <si>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</si>
  <si>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</si>
  <si>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</si>
  <si>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</si>
  <si>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</si>
  <si>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</si>
  <si>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</si>
  <si>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</si>
  <si>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</si>
  <si>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</si>
  <si>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</si>
  <si>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</si>
  <si>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</si>
  <si>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</si>
  <si>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</si>
  <si>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</si>
  <si>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</si>
  <si>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</si>
  <si>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</si>
  <si>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</si>
  <si>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</si>
  <si>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</si>
  <si>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</si>
  <si>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</si>
  <si>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</si>
  <si>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</si>
  <si>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</si>
  <si>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</si>
  <si>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</si>
  <si>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</si>
  <si>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</si>
  <si>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</si>
  <si>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</si>
  <si>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</si>
  <si>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</si>
  <si>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</si>
  <si>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</si>
  <si>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</si>
  <si>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</si>
  <si>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</si>
  <si>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</si>
  <si>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</si>
  <si>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</si>
  <si>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</si>
  <si>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</si>
  <si>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</si>
  <si>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</si>
  <si>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</si>
  <si>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</si>
  <si>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</si>
  <si>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</si>
  <si>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</si>
  <si>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</si>
  <si>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</si>
  <si>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</si>
  <si>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</si>
  <si>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</si>
  <si>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</si>
  <si>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</si>
  <si>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</si>
  <si>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</si>
  <si>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</si>
  <si>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</si>
  <si>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</si>
  <si>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</si>
  <si>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</si>
  <si>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</si>
  <si>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</si>
  <si>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</si>
  <si>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</si>
  <si>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</si>
  <si>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</si>
  <si>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</si>
  <si>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</si>
  <si>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</si>
  <si>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</si>
  <si>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</si>
  <si>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</si>
  <si>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</si>
  <si>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</si>
  <si>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</si>
  <si>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</si>
  <si>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</si>
  <si>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</si>
  <si>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</si>
  <si>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</si>
  <si>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</si>
  <si>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</si>
  <si>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</si>
  <si>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</si>
  <si>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</si>
  <si>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</si>
  <si>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</si>
  <si>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</si>
  <si>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</si>
  <si>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</si>
  <si>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</si>
  <si>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</si>
  <si>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</si>
  <si>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</si>
  <si>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</si>
  <si>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</si>
  <si>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</si>
  <si>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</si>
  <si>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</si>
  <si>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</si>
  <si>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</si>
  <si>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</si>
  <si>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</si>
  <si>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</si>
  <si>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</si>
  <si>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</si>
  <si>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</si>
  <si>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</si>
  <si>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</si>
  <si>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</si>
  <si>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</si>
  <si>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</si>
  <si>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</si>
  <si>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</si>
  <si>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</si>
  <si>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</si>
  <si>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</si>
  <si>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</si>
  <si>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</si>
  <si>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</si>
  <si>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</si>
  <si>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</si>
  <si>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</si>
  <si>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</si>
  <si>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</si>
  <si>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</si>
  <si>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</si>
  <si>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</si>
  <si>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</si>
  <si>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</si>
  <si>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</si>
  <si>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</si>
  <si>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</si>
  <si>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</si>
  <si>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</si>
  <si>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</si>
  <si>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</si>
  <si>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</si>
  <si>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</si>
  <si>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</si>
  <si>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</si>
  <si>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</si>
  <si>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</si>
  <si>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</si>
  <si>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</si>
  <si>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</si>
  <si>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</si>
  <si>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</si>
  <si>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</si>
  <si>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</si>
  <si>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</si>
  <si>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</si>
  <si>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</si>
  <si>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</si>
  <si>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</si>
  <si>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</si>
  <si>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</si>
  <si>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</si>
  <si>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</si>
  <si>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</si>
  <si>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</si>
  <si>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</si>
  <si>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</si>
  <si>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</si>
  <si>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</si>
  <si>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</si>
  <si>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</si>
  <si>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</si>
  <si>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</si>
  <si>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</si>
  <si>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</si>
  <si>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</si>
  <si>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</si>
  <si>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</si>
  <si>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</si>
  <si>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</si>
  <si>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</si>
  <si>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</si>
  <si>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</si>
  <si>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</si>
  <si>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</si>
  <si>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</si>
  <si>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</si>
  <si>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</si>
  <si>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</si>
  <si>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</si>
  <si>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</si>
  <si>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</si>
  <si>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</si>
  <si>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</si>
  <si>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</si>
  <si>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</si>
  <si>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</si>
  <si>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</si>
  <si>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</si>
  <si>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</si>
  <si>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</si>
  <si>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</si>
  <si>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</si>
  <si>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</si>
  <si>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</si>
  <si>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</si>
  <si>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</si>
  <si>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</si>
  <si>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</si>
  <si>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</si>
  <si>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</si>
  <si>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</si>
  <si>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</si>
  <si>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</si>
  <si>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</si>
  <si>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</si>
  <si>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</si>
  <si>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</si>
  <si>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</si>
  <si>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</si>
  <si>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</si>
  <si>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</si>
  <si>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</si>
  <si>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</si>
  <si>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</si>
  <si>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</si>
  <si>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</si>
  <si>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</si>
  <si>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</si>
  <si>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</si>
  <si>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</si>
  <si>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</si>
  <si>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</si>
  <si>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</si>
  <si>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</si>
  <si>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</si>
  <si>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</si>
  <si>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</si>
  <si>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</si>
  <si>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</si>
  <si>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</si>
  <si>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</si>
  <si>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</si>
  <si>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</si>
  <si>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</si>
  <si>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</si>
  <si>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</si>
  <si>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</si>
  <si>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</si>
  <si>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</si>
  <si>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</si>
  <si>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</si>
  <si>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</si>
  <si>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</si>
  <si>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</si>
  <si>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</si>
  <si>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</si>
  <si>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</si>
  <si>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</si>
  <si>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</si>
  <si>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</si>
  <si>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</si>
  <si>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</si>
  <si>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</si>
  <si>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</si>
  <si>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</si>
  <si>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</si>
  <si>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</si>
  <si>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</si>
  <si>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</si>
  <si>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</si>
  <si>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</si>
  <si>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</si>
  <si>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</si>
  <si>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</si>
  <si>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</si>
  <si>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</si>
  <si>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</si>
  <si>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</si>
  <si>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</si>
  <si>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</si>
  <si>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</si>
  <si>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</si>
  <si>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</si>
  <si>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</si>
  <si>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</si>
  <si>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</si>
  <si>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</si>
  <si>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</si>
  <si>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</si>
  <si>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</si>
  <si>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</si>
  <si>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</si>
  <si>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</si>
  <si>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</si>
  <si>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</si>
  <si>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</si>
  <si>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</si>
  <si>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</si>
  <si>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</si>
  <si>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</si>
  <si>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</si>
  <si>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</si>
  <si>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</si>
  <si>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</si>
  <si>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</si>
  <si>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</si>
  <si>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</si>
  <si>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</si>
  <si>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</si>
  <si>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</si>
  <si>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</si>
  <si>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</si>
  <si>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</si>
  <si>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</si>
  <si>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</si>
  <si>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</si>
  <si>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</si>
  <si>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</si>
  <si>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</si>
  <si>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</si>
  <si>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</si>
  <si>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</si>
  <si>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</si>
  <si>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</si>
  <si>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</si>
  <si>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</si>
  <si>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</si>
  <si>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</si>
  <si>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</si>
  <si>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</si>
  <si>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</si>
  <si>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</si>
  <si>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</si>
  <si>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</si>
  <si>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</si>
  <si>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</si>
  <si>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</si>
  <si>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</si>
  <si>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</si>
  <si>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</si>
  <si>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</si>
  <si>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</si>
  <si>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</si>
  <si>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</si>
  <si>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</si>
  <si>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</si>
  <si>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</si>
  <si>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</si>
  <si>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</si>
  <si>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</si>
  <si>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</si>
  <si>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</si>
  <si>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</si>
  <si>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</si>
  <si>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</si>
  <si>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</si>
  <si>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</si>
  <si>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</si>
  <si>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</si>
  <si>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</si>
  <si>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</si>
  <si>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</si>
  <si>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</si>
  <si>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</si>
  <si>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</si>
  <si>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</si>
  <si>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</si>
  <si>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</si>
  <si>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</si>
  <si>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</si>
  <si>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</si>
  <si>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</si>
  <si>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</si>
  <si>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</si>
  <si>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</si>
  <si>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</si>
  <si>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</si>
  <si>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</si>
  <si>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</si>
  <si>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</si>
  <si>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</si>
  <si>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</si>
  <si>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</si>
  <si>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</si>
  <si>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</si>
  <si>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</si>
  <si>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</si>
  <si>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</si>
  <si>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</si>
  <si>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</si>
  <si>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</si>
  <si>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</si>
  <si>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</si>
  <si>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</si>
  <si>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</si>
  <si>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</si>
  <si>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</si>
  <si>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</si>
  <si>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</si>
  <si>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</si>
  <si>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</si>
  <si>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</si>
  <si>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</si>
  <si>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</si>
  <si>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</si>
  <si>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</si>
  <si>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</si>
  <si>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</si>
  <si>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</si>
  <si>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</si>
  <si>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</si>
  <si>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</si>
  <si>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</si>
  <si>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</si>
  <si>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</si>
  <si>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</si>
  <si>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</si>
  <si>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</si>
  <si>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</si>
  <si>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</si>
  <si>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</si>
  <si>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</si>
  <si>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</si>
  <si>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</si>
  <si>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</si>
  <si>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</si>
  <si>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</si>
  <si>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</si>
  <si>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</si>
  <si>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</si>
  <si>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</si>
  <si>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</si>
  <si>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</si>
  <si>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</si>
  <si>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</si>
  <si>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</si>
  <si>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</si>
  <si>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</si>
  <si>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</si>
  <si>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</si>
  <si>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</si>
  <si>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</si>
  <si>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</si>
  <si>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</si>
  <si>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</si>
  <si>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</si>
  <si>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</si>
  <si>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</si>
  <si>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</si>
  <si>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</si>
  <si>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</si>
  <si>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</si>
  <si>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</si>
  <si>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</si>
  <si>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</si>
  <si>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</si>
  <si>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</si>
  <si>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</si>
  <si>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</si>
  <si>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</si>
  <si>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</si>
  <si>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</si>
  <si>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</si>
  <si>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</si>
  <si>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</si>
  <si>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</si>
  <si>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</si>
  <si>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</si>
  <si>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</si>
  <si>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</si>
  <si>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</si>
  <si>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</si>
  <si>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</si>
  <si>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</si>
  <si>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</si>
  <si>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</si>
  <si>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</si>
  <si>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</si>
  <si>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</si>
  <si>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</si>
  <si>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</si>
  <si>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</si>
  <si>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</si>
  <si>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</si>
  <si>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</si>
  <si>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</si>
  <si>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</si>
  <si>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</si>
  <si>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</si>
  <si>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</si>
  <si>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</si>
  <si>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</si>
  <si>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</si>
  <si>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</si>
  <si>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</si>
  <si>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</si>
  <si>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</si>
  <si>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</si>
  <si>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</si>
  <si>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</si>
  <si>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</si>
  <si>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</si>
  <si>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</si>
  <si>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</si>
  <si>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</si>
  <si>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</si>
  <si>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</si>
  <si>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</si>
  <si>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</si>
  <si>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</si>
  <si>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</si>
  <si>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</si>
  <si>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</si>
  <si>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</si>
  <si>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</si>
  <si>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</si>
  <si>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</si>
  <si>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</si>
  <si>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</si>
  <si>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</si>
  <si>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</si>
  <si>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</si>
  <si>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</si>
  <si>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</si>
  <si>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</si>
  <si>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</si>
  <si>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</si>
  <si>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</si>
  <si>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</si>
  <si>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</si>
  <si>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</si>
  <si>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</si>
  <si>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</si>
  <si>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</si>
  <si>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</si>
  <si>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</si>
  <si>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</si>
  <si>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</si>
  <si>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</si>
  <si>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</si>
  <si>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</si>
  <si>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</si>
  <si>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</si>
  <si>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</si>
  <si>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</si>
  <si>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</si>
  <si>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</si>
  <si>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</si>
  <si>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</si>
  <si>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</si>
  <si>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</si>
  <si>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</si>
  <si>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</si>
  <si>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</si>
  <si>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</si>
  <si>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</si>
  <si>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</si>
  <si>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</si>
  <si>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</si>
  <si>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</si>
  <si>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</si>
  <si>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</si>
  <si>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</si>
  <si>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</si>
  <si>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</si>
  <si>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</si>
  <si>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</si>
  <si>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</si>
  <si>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</si>
  <si>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</si>
  <si>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</si>
  <si>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</si>
  <si>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</si>
  <si>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</si>
  <si>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</si>
  <si>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</si>
  <si>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</si>
  <si>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</si>
  <si>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</si>
  <si>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</si>
  <si>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</si>
  <si>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</si>
  <si>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</si>
  <si>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</si>
  <si>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</si>
  <si>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</si>
  <si>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</si>
  <si>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</si>
  <si>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</si>
  <si>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</si>
  <si>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</si>
  <si>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</si>
  <si>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</si>
  <si>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</si>
  <si>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</si>
  <si>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</si>
  <si>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</si>
  <si>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</si>
  <si>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</si>
  <si>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</si>
  <si>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</si>
  <si>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</si>
  <si>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</si>
  <si>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</si>
  <si>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</si>
  <si>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</si>
  <si>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</si>
  <si>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</si>
  <si>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</si>
  <si>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</si>
  <si>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</si>
  <si>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</si>
  <si>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</si>
  <si>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</si>
  <si>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</si>
  <si>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</si>
  <si>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</si>
  <si>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</si>
  <si>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</si>
  <si>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</si>
  <si>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</si>
  <si>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</si>
  <si>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</si>
  <si>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</si>
  <si>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</si>
  <si>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</si>
  <si>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</si>
  <si>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</si>
  <si>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</si>
  <si>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</si>
  <si>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</si>
  <si>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</si>
  <si>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</si>
  <si>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</si>
  <si>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</si>
  <si>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</si>
  <si>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</si>
  <si>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</si>
  <si>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</si>
  <si>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</si>
  <si>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</si>
  <si>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</si>
  <si>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</si>
  <si>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</si>
  <si>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</si>
  <si>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</si>
  <si>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</si>
  <si>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</si>
  <si>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</si>
  <si>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</si>
  <si>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</si>
  <si>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</si>
  <si>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</si>
  <si>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</si>
  <si>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</si>
  <si>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</si>
  <si>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</si>
  <si>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</si>
  <si>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</si>
  <si>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</si>
  <si>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</si>
  <si>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</si>
  <si>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</si>
  <si>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</si>
  <si>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</si>
  <si>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</si>
  <si>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</si>
  <si>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</si>
  <si>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</si>
  <si>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</si>
  <si>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</si>
  <si>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</si>
  <si>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</si>
  <si>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</si>
  <si>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</si>
  <si>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</si>
  <si>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</si>
  <si>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</si>
  <si>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</si>
  <si>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</si>
  <si>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</si>
  <si>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</si>
  <si>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</si>
  <si>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</si>
  <si>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</si>
  <si>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</si>
  <si>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</si>
  <si>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</si>
  <si>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</si>
  <si>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</si>
  <si>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</si>
  <si>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</si>
  <si>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</si>
  <si>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</si>
  <si>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</si>
  <si>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</si>
  <si>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</si>
  <si>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</si>
  <si>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</si>
  <si>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</si>
  <si>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</si>
  <si>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</si>
  <si>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</si>
  <si>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</si>
  <si>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</si>
  <si>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</si>
  <si>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</si>
  <si>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</si>
  <si>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</si>
  <si>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</si>
  <si>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</si>
  <si>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</si>
  <si>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</si>
  <si>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</si>
  <si>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</si>
  <si>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</si>
  <si>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</si>
  <si>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</si>
  <si>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</si>
  <si>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</si>
  <si>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</si>
  <si>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</si>
  <si>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</si>
  <si>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</si>
  <si>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</si>
  <si>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</si>
  <si>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</si>
  <si>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</si>
  <si>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</si>
  <si>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</si>
  <si>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</si>
  <si>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</si>
  <si>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</si>
  <si>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</si>
  <si>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</si>
  <si>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</si>
  <si>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</si>
  <si>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</si>
  <si>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</si>
  <si>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</si>
  <si>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</si>
  <si>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</si>
  <si>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</si>
  <si>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</si>
  <si>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</si>
  <si>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</si>
  <si>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</si>
  <si>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</si>
  <si>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</si>
  <si>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</si>
  <si>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</si>
  <si>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</si>
  <si>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</si>
  <si>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</si>
  <si>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</si>
  <si>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</si>
  <si>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</si>
  <si>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</si>
  <si>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</si>
  <si>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</si>
  <si>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</si>
  <si>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</si>
  <si>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</si>
  <si>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</si>
  <si>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</si>
  <si>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</si>
  <si>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</si>
  <si>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</si>
  <si>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</si>
  <si>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</si>
  <si>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</si>
  <si>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</si>
  <si>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</si>
  <si>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</si>
  <si>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</si>
  <si>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</si>
  <si>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</si>
  <si>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</si>
  <si>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</si>
  <si>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</si>
  <si>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</si>
  <si>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</si>
  <si>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</si>
  <si>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</si>
  <si>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</si>
  <si>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</si>
  <si>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</si>
  <si>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</si>
  <si>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</si>
  <si>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</si>
  <si>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</si>
  <si>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</si>
  <si>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</si>
  <si>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</si>
  <si>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</si>
  <si>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</si>
  <si>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</si>
  <si>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</si>
  <si>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</si>
  <si>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</si>
  <si>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</si>
  <si>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</si>
  <si>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</si>
  <si>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</si>
  <si>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</si>
  <si>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</si>
  <si>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</si>
  <si>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</si>
  <si>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</si>
  <si>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</si>
  <si>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</si>
  <si>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</si>
  <si>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</si>
  <si>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</si>
  <si>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</si>
  <si>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</si>
  <si>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</si>
  <si>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</si>
  <si>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</si>
  <si>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</si>
  <si>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</si>
  <si>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</si>
  <si>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</si>
  <si>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</si>
  <si>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</si>
  <si>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</si>
  <si>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</si>
  <si>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</si>
  <si>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</si>
  <si>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</si>
  <si>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</si>
  <si>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</si>
  <si>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</si>
  <si>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</si>
  <si>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</si>
  <si>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</si>
  <si>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</si>
  <si>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</si>
  <si>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</si>
  <si>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</si>
  <si>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</si>
  <si>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</si>
  <si>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</si>
  <si>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</si>
  <si>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</si>
  <si>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</si>
  <si>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</si>
  <si>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</si>
  <si>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</si>
  <si>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</si>
  <si>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</si>
  <si>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</si>
  <si>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</si>
  <si>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</si>
  <si>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</si>
  <si>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</si>
  <si>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</si>
  <si>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</si>
  <si>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</si>
  <si>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</si>
  <si>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</si>
  <si>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</si>
  <si>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</si>
  <si>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</si>
  <si>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</si>
  <si>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</si>
  <si>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</si>
  <si>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</si>
  <si>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</si>
  <si>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</si>
  <si>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</si>
  <si>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</si>
  <si>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</si>
  <si>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</si>
  <si>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</si>
  <si>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</si>
  <si>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</si>
  <si>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</si>
  <si>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</si>
  <si>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</si>
  <si>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</si>
  <si>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</si>
  <si>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</si>
  <si>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</si>
  <si>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</si>
  <si>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</si>
  <si>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</si>
  <si>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</si>
  <si>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</si>
  <si>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</si>
  <si>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</si>
  <si>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</si>
  <si>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</si>
  <si>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</si>
  <si>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</si>
  <si>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</si>
  <si>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</si>
  <si>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</si>
  <si>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</si>
  <si>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</si>
  <si>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</si>
  <si>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</si>
  <si>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</si>
  <si>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</si>
  <si>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</si>
  <si>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</si>
  <si>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</si>
  <si>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</si>
  <si>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</si>
  <si>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</si>
  <si>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</si>
  <si>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</si>
  <si>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</si>
  <si>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</si>
  <si>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</si>
  <si>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</si>
  <si>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</si>
  <si>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</si>
  <si>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</si>
  <si>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</si>
  <si>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</si>
  <si>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</si>
  <si>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</si>
  <si>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</si>
  <si>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</si>
  <si>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</si>
  <si>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</si>
  <si>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</si>
  <si>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</si>
  <si>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</si>
  <si>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</si>
  <si>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</si>
  <si>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</si>
  <si>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</si>
  <si>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</si>
  <si>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</si>
  <si>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</si>
  <si>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</si>
  <si>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</si>
  <si>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</si>
  <si>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</si>
  <si>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</si>
  <si>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</si>
  <si>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</si>
  <si>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</si>
  <si>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</si>
  <si>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</si>
  <si>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</si>
  <si>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</si>
  <si>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</si>
  <si>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</si>
  <si>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</si>
  <si>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</si>
  <si>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</si>
  <si>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</si>
  <si>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</si>
  <si>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</si>
  <si>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</si>
  <si>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</si>
  <si>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</si>
  <si>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</si>
  <si>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</si>
  <si>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</si>
  <si>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</si>
  <si>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</si>
  <si>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</si>
  <si>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</si>
  <si>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</si>
  <si>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</si>
  <si>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</si>
  <si>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</si>
  <si>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</si>
  <si>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</si>
  <si>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</si>
  <si>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</si>
  <si>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</si>
  <si>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</si>
  <si>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</si>
  <si>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</si>
  <si>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</si>
  <si>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</si>
  <si>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</si>
  <si>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</si>
  <si>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</si>
  <si>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</si>
  <si>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</si>
  <si>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</si>
  <si>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</si>
  <si>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</si>
  <si>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</si>
  <si>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</si>
  <si>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</si>
  <si>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</si>
  <si>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</si>
  <si>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</si>
  <si>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</si>
  <si>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</si>
  <si>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</si>
  <si>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</si>
  <si>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</si>
  <si>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</si>
  <si>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</si>
  <si>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</si>
  <si>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</si>
  <si>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</si>
  <si>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</si>
  <si>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</si>
  <si>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</si>
  <si>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</si>
  <si>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</si>
  <si>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</si>
  <si>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</si>
  <si>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</si>
  <si>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</si>
  <si>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</si>
  <si>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</si>
  <si>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</si>
  <si>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</si>
  <si>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</si>
  <si>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</si>
  <si>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</si>
  <si>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</si>
  <si>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</si>
  <si>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</si>
  <si>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</si>
  <si>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</si>
  <si>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</si>
  <si>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</si>
  <si>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</si>
  <si>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</si>
  <si>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</si>
  <si>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</si>
  <si>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</si>
  <si>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</si>
  <si>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</si>
  <si>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</si>
  <si>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</si>
  <si>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</si>
  <si>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</si>
  <si>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</si>
  <si>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</si>
  <si>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</si>
  <si>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</si>
  <si>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</si>
  <si>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</si>
  <si>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</si>
  <si>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</si>
  <si>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</si>
  <si>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</si>
  <si>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</si>
  <si>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</si>
  <si>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</si>
  <si>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</si>
  <si>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</si>
  <si>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</si>
  <si>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</si>
  <si>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</si>
  <si>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</si>
  <si>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</si>
  <si>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</si>
  <si>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</si>
  <si>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</si>
  <si>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</si>
  <si>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</si>
  <si>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</si>
  <si>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</si>
  <si>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</si>
  <si>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</si>
  <si>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</si>
  <si>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</si>
  <si>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</si>
  <si>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</si>
  <si>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</si>
  <si>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</si>
  <si>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</si>
  <si>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</si>
  <si>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</si>
  <si>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</si>
  <si>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</si>
  <si>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</si>
  <si>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</si>
  <si>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</si>
  <si>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</si>
  <si>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</si>
  <si>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</si>
  <si>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</si>
  <si>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</si>
  <si>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</si>
  <si>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</si>
  <si>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</si>
  <si>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</si>
  <si>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</si>
  <si>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</si>
  <si>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</si>
  <si>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</si>
  <si>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</si>
  <si>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</si>
  <si>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</si>
  <si>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</si>
  <si>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</si>
  <si>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</si>
  <si>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</si>
  <si>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</si>
  <si>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</si>
  <si>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</si>
  <si>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</si>
  <si>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</si>
  <si>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</si>
  <si>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</si>
  <si>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</si>
  <si>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</si>
  <si>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</si>
  <si>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</si>
  <si>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</si>
  <si>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</si>
  <si>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</si>
  <si>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</si>
  <si>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</si>
  <si>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</si>
  <si>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</si>
  <si>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</si>
  <si>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</si>
  <si>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</si>
  <si>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</si>
  <si>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</si>
  <si>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</si>
  <si>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</si>
  <si>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</si>
  <si>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</si>
  <si>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</si>
  <si>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</si>
  <si>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</si>
  <si>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</si>
  <si>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</si>
  <si>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</si>
  <si>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</si>
  <si>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</si>
  <si>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</si>
  <si>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</si>
  <si>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</si>
  <si>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</si>
  <si>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</si>
  <si>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</si>
  <si>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</si>
  <si>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</si>
  <si>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</si>
  <si>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</si>
  <si>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</si>
  <si>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</si>
  <si>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</si>
  <si>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</si>
  <si>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</si>
  <si>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</si>
  <si>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</si>
  <si>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</si>
  <si>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</si>
  <si>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</si>
  <si>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</si>
  <si>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</si>
  <si>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</si>
  <si>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</si>
  <si>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</si>
  <si>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</si>
  <si>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</si>
  <si>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</si>
  <si>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</si>
  <si>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</si>
  <si>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</si>
  <si>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</si>
  <si>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</si>
  <si>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</si>
  <si>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</si>
  <si>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</si>
  <si>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</si>
  <si>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</si>
  <si>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</si>
  <si>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</si>
  <si>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</si>
  <si>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</si>
  <si>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</si>
  <si>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</si>
  <si>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</si>
  <si>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</si>
  <si>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</si>
  <si>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</si>
  <si>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</si>
  <si>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</si>
  <si>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</si>
  <si>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</si>
  <si>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</si>
  <si>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</si>
  <si>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</si>
  <si>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</si>
  <si>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</si>
  <si>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</si>
  <si>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</si>
  <si>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</si>
  <si>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</si>
  <si>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</si>
  <si>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</si>
  <si>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</si>
  <si>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</si>
  <si>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</si>
  <si>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</si>
  <si>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</si>
  <si>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</si>
  <si>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</si>
  <si>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</si>
  <si>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</si>
  <si>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</si>
  <si>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</si>
  <si>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</si>
  <si>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</si>
  <si>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</si>
  <si>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</si>
  <si>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</si>
  <si>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</si>
  <si>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</si>
  <si>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</si>
  <si>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</si>
  <si>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</si>
  <si>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</si>
  <si>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</si>
  <si>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</si>
  <si>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</si>
  <si>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</si>
  <si>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</si>
  <si>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</si>
  <si>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</si>
  <si>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</si>
  <si>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</si>
  <si>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</si>
  <si>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</si>
  <si>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</si>
  <si>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</si>
  <si>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</si>
  <si>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</si>
  <si>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</si>
  <si>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</si>
  <si>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</si>
  <si>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</si>
  <si>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</si>
  <si>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</si>
  <si>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</si>
  <si>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</si>
  <si>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</si>
  <si>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</si>
  <si>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</si>
  <si>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</si>
  <si>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</si>
  <si>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</si>
  <si>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</si>
  <si>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</si>
  <si>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</si>
  <si>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</si>
  <si>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</si>
  <si>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</si>
  <si>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</si>
  <si>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</si>
  <si>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</si>
  <si>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</si>
  <si>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</si>
  <si>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</si>
  <si>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</si>
  <si>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</si>
  <si>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</si>
  <si>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</si>
  <si>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</si>
  <si>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</si>
  <si>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</si>
  <si>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</si>
  <si>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</si>
  <si>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</si>
  <si>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</si>
  <si>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</si>
  <si>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</si>
  <si>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</si>
  <si>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</si>
  <si>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</si>
  <si>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</si>
  <si>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</si>
  <si>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</si>
  <si>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</si>
  <si>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</si>
  <si>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</si>
  <si>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</si>
  <si>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</si>
  <si>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</si>
  <si>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</si>
  <si>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</si>
  <si>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</si>
  <si>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</si>
  <si>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</si>
  <si>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</si>
  <si>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</si>
  <si>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</si>
  <si>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</si>
  <si>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</si>
  <si>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</si>
  <si>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</si>
  <si>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</si>
  <si>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</si>
  <si>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</si>
  <si>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</si>
  <si>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</si>
  <si>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</si>
  <si>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</si>
  <si>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</si>
  <si>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</si>
  <si>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</si>
  <si>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</si>
  <si>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</si>
  <si>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</si>
  <si>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</si>
  <si>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</si>
  <si>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</si>
  <si>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</si>
  <si>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</si>
  <si>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</si>
  <si>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</si>
  <si>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</si>
  <si>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</si>
  <si>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</si>
  <si>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</si>
  <si>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</si>
  <si>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</si>
  <si>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</si>
  <si>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</si>
  <si>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</si>
  <si>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</si>
  <si>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</si>
  <si>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</si>
  <si>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</si>
  <si>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</si>
  <si>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</si>
  <si>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</si>
  <si>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</si>
  <si>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</si>
  <si>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</si>
  <si>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</si>
  <si>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</si>
  <si>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</si>
  <si>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</si>
  <si>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</si>
  <si>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</si>
  <si>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</si>
  <si>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</si>
  <si>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</si>
  <si>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</si>
  <si>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</si>
  <si>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</si>
  <si>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</si>
  <si>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</si>
  <si>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</si>
  <si>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</si>
  <si>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</si>
  <si>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</si>
  <si>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</si>
  <si>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</si>
  <si>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</si>
  <si>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</si>
  <si>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</si>
  <si>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</si>
  <si>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</si>
  <si>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</si>
  <si>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</si>
  <si>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</si>
  <si>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</si>
  <si>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</si>
  <si>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</si>
  <si>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</si>
  <si>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</si>
  <si>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</si>
  <si>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</si>
  <si>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</si>
  <si>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</si>
  <si>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</si>
  <si>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</si>
  <si>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</si>
  <si>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</si>
  <si>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</si>
  <si>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</si>
  <si>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</si>
  <si>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</si>
  <si>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</si>
  <si>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</si>
  <si>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</si>
  <si>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</si>
  <si>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</si>
  <si>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</si>
  <si>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</si>
  <si>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</si>
  <si>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</si>
  <si>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</si>
  <si>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</si>
  <si>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</si>
  <si>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</si>
  <si>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</si>
  <si>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</si>
  <si>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</si>
  <si>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</si>
  <si>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</si>
  <si>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</si>
  <si>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</si>
  <si>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</si>
  <si>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</si>
  <si>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</si>
  <si>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</si>
  <si>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</si>
  <si>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</si>
  <si>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</si>
  <si>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</si>
  <si>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</si>
  <si>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</si>
  <si>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</si>
  <si>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</si>
  <si>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</si>
  <si>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</si>
  <si>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</si>
  <si>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</si>
  <si>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</si>
  <si>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</si>
  <si>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</si>
  <si>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</si>
  <si>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</si>
  <si>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</si>
  <si>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</si>
  <si>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</si>
  <si>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</si>
  <si>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</si>
  <si>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</si>
  <si>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</si>
  <si>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</si>
  <si>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</si>
  <si>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</si>
  <si>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</si>
  <si>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</si>
  <si>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</si>
  <si>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</si>
  <si>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</si>
  <si>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</si>
  <si>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</si>
  <si>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</si>
  <si>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</si>
  <si>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</si>
  <si>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</si>
  <si>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</si>
  <si>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</si>
  <si>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</si>
  <si>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</si>
  <si>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</si>
  <si>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</si>
  <si>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</si>
  <si>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</si>
  <si>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</si>
  <si>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</si>
  <si>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</si>
  <si>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</si>
  <si>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</si>
  <si>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</si>
  <si>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</si>
  <si>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</si>
  <si>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</si>
  <si>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</si>
  <si>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</si>
  <si>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</si>
  <si>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</si>
  <si>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</si>
  <si>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</si>
  <si>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</si>
  <si>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</si>
  <si>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</si>
  <si>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</si>
  <si>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</si>
  <si>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</si>
  <si>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</si>
  <si>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</si>
  <si>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</si>
  <si>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</si>
  <si>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</si>
  <si>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</si>
  <si>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</si>
  <si>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</si>
  <si>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</si>
  <si>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</si>
  <si>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</si>
  <si>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</si>
  <si>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</si>
  <si>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</si>
  <si>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</si>
  <si>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</si>
  <si>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</si>
  <si>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</si>
  <si>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</si>
  <si>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</si>
  <si>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</si>
  <si>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</si>
  <si>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</si>
  <si>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</si>
  <si>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</si>
  <si>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</si>
  <si>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</si>
  <si>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</si>
  <si>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</si>
  <si>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</si>
  <si>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</si>
  <si>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</si>
  <si>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</si>
  <si>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</si>
  <si>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</si>
  <si>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</si>
  <si>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</si>
  <si>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</si>
  <si>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</si>
  <si>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</si>
  <si>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</si>
  <si>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</si>
  <si>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</si>
  <si>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</si>
  <si>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</si>
  <si>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</si>
  <si>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</si>
  <si>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</si>
  <si>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</si>
  <si>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</si>
  <si>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</si>
  <si>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</si>
  <si>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</si>
  <si>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</si>
  <si>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</si>
  <si>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</si>
  <si>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</si>
  <si>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</si>
  <si>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</si>
  <si>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</si>
  <si>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</si>
  <si>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</si>
  <si>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</si>
  <si>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</si>
  <si>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</si>
  <si>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</si>
  <si>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</si>
  <si>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</si>
  <si>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</si>
  <si>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</si>
  <si>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</si>
  <si>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</si>
  <si>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</si>
  <si>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</si>
  <si>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</si>
  <si>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</si>
  <si>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</si>
  <si>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</si>
  <si>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</si>
  <si>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</si>
  <si>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</si>
  <si>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</si>
  <si>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</si>
  <si>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</si>
  <si>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</si>
  <si>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</si>
  <si>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</si>
  <si>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</si>
  <si>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</si>
  <si>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</si>
  <si>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</si>
  <si>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</si>
  <si>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</si>
  <si>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</si>
  <si>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</si>
  <si>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</si>
  <si>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</si>
  <si>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</si>
  <si>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</si>
  <si>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</si>
  <si>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</si>
  <si>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</si>
  <si>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</si>
  <si>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</si>
  <si>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</si>
  <si>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</si>
  <si>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</si>
  <si>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</si>
  <si>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</si>
  <si>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</si>
  <si>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</si>
  <si>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</si>
  <si>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</si>
  <si>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</si>
  <si>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</si>
  <si>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</si>
  <si>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</si>
  <si>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</si>
  <si>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</si>
  <si>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</si>
  <si>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</si>
  <si>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</si>
  <si>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</si>
  <si>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</si>
  <si>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</si>
  <si>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</si>
  <si>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</si>
  <si>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</si>
  <si>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</si>
  <si>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</si>
  <si>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</si>
  <si>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</si>
  <si>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</si>
  <si>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</si>
  <si>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</si>
  <si>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</si>
  <si>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</si>
  <si>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</si>
  <si>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</si>
  <si>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</si>
  <si>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</si>
  <si>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</si>
  <si>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</si>
  <si>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</si>
  <si>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</si>
  <si>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</si>
  <si>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</si>
  <si>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</si>
  <si>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</si>
  <si>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</si>
  <si>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</si>
  <si>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</si>
  <si>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</si>
  <si>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</si>
  <si>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</si>
  <si>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</si>
  <si>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</si>
  <si>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</si>
  <si>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</si>
  <si>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</si>
  <si>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</si>
  <si>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</si>
  <si>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</si>
  <si>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</si>
  <si>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</si>
  <si>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</si>
  <si>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</si>
  <si>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</si>
  <si>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</si>
  <si>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</si>
  <si>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</si>
  <si>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</si>
  <si>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</si>
  <si>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</si>
  <si>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</si>
  <si>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</si>
  <si>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</si>
  <si>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</si>
  <si>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</si>
  <si>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</si>
  <si>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</si>
  <si>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</si>
  <si>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</si>
  <si>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</si>
  <si>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</si>
  <si>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</si>
  <si>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</si>
  <si>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</si>
  <si>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</si>
  <si>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</si>
  <si>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</si>
  <si>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</si>
  <si>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</si>
  <si>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</si>
  <si>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</si>
  <si>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</si>
  <si>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</si>
  <si>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</si>
  <si>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</si>
  <si>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</si>
  <si>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</si>
  <si>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</si>
  <si>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</si>
  <si>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</si>
  <si>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</si>
  <si>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</si>
  <si>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</si>
  <si>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</si>
  <si>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</si>
  <si>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</si>
  <si>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</si>
  <si>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</si>
  <si>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</si>
  <si>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</si>
  <si>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</si>
  <si>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</si>
  <si>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</si>
  <si>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</si>
  <si>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</si>
  <si>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</si>
  <si>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</si>
  <si>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</si>
  <si>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</si>
  <si>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</si>
  <si>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</si>
  <si>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</si>
  <si>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</si>
  <si>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</si>
  <si>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</si>
  <si>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</si>
  <si>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</si>
  <si>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</si>
  <si>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</si>
  <si>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</si>
  <si>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</si>
  <si>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</si>
  <si>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</si>
  <si>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</si>
  <si>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</si>
  <si>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</si>
  <si>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</si>
  <si>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</si>
  <si>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</si>
  <si>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</si>
  <si>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</si>
  <si>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</si>
  <si>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</si>
  <si>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</si>
  <si>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</si>
  <si>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</si>
  <si>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</si>
  <si>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</si>
  <si>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</si>
  <si>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</si>
  <si>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</si>
  <si>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</si>
  <si>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</si>
  <si>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</si>
  <si>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</si>
  <si>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</si>
  <si>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</si>
  <si>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</si>
  <si>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</si>
  <si>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</si>
  <si>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</si>
  <si>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</si>
  <si>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</si>
  <si>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</si>
  <si>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</si>
  <si>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</si>
  <si>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</si>
  <si>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</si>
  <si>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</si>
  <si>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</si>
  <si>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</si>
  <si>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</si>
  <si>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</si>
  <si>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</si>
  <si>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</si>
  <si>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</si>
  <si>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</si>
  <si>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</si>
  <si>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</si>
  <si>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</si>
  <si>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</si>
  <si>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</si>
  <si>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</si>
  <si>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</si>
  <si>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</si>
  <si>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</si>
  <si>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</si>
  <si>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</si>
  <si>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</si>
  <si>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</si>
  <si>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</si>
  <si>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</si>
  <si>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</si>
  <si>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</si>
  <si>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</si>
  <si>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</si>
  <si>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</si>
  <si>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</si>
  <si>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</si>
  <si>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</si>
  <si>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</si>
  <si>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</si>
  <si>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</si>
  <si>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</si>
  <si>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</si>
  <si>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</si>
  <si>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</si>
  <si>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</si>
  <si>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</si>
  <si>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</si>
  <si>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</si>
  <si>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</si>
  <si>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</si>
  <si>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</si>
  <si>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</si>
  <si>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</si>
  <si>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</si>
  <si>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</si>
  <si>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</si>
  <si>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</si>
  <si>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</si>
  <si>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</si>
  <si>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</si>
  <si>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</si>
  <si>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</si>
  <si>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</si>
  <si>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</si>
  <si>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</si>
  <si>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</si>
  <si>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</si>
  <si>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</si>
  <si>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</si>
  <si>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</si>
  <si>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</si>
  <si>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</si>
  <si>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</si>
  <si>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</si>
  <si>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</si>
  <si>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</si>
  <si>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</si>
  <si>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</si>
  <si>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</si>
  <si>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</si>
  <si>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</si>
  <si>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</si>
  <si>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</si>
  <si>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</si>
  <si>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</si>
  <si>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</si>
  <si>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</si>
  <si>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</si>
  <si>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</si>
  <si>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</si>
  <si>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</si>
  <si>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</si>
  <si>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</si>
  <si>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</si>
  <si>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</si>
  <si>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</si>
  <si>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</si>
  <si>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</si>
  <si>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</si>
  <si>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</si>
  <si>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</si>
  <si>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</si>
  <si>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</si>
  <si>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</si>
  <si>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</si>
  <si>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</si>
  <si>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</si>
  <si>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</si>
  <si>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</si>
  <si>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</si>
  <si>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</si>
  <si>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</si>
  <si>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</si>
  <si>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</si>
  <si>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</si>
  <si>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</si>
  <si>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</si>
  <si>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</si>
  <si>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</si>
  <si>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</si>
  <si>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</si>
  <si>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</si>
  <si>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</si>
  <si>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</si>
  <si>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</si>
  <si>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</si>
  <si>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</si>
  <si>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</si>
  <si>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</si>
  <si>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</si>
  <si>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</si>
  <si>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</si>
  <si>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</si>
  <si>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</si>
  <si>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</si>
  <si>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</si>
  <si>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</si>
  <si>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</si>
  <si>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</si>
  <si>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</si>
  <si>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</si>
  <si>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</si>
  <si>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</si>
  <si>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</si>
  <si>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</si>
  <si>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</si>
  <si>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</si>
  <si>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</si>
  <si>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</si>
  <si>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</si>
  <si>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</si>
  <si>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</si>
  <si>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</si>
  <si>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</si>
  <si>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</si>
  <si>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</si>
  <si>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</si>
  <si>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</si>
  <si>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</si>
  <si>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</si>
  <si>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</si>
  <si>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</si>
  <si>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</si>
  <si>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</si>
  <si>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</si>
  <si>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</si>
  <si>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</si>
  <si>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</si>
  <si>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</si>
  <si>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</si>
  <si>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</si>
  <si>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</si>
  <si>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</si>
  <si>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</si>
  <si>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</si>
  <si>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</si>
  <si>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</si>
  <si>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</si>
  <si>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</si>
  <si>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</si>
  <si>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</si>
  <si>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</si>
  <si>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</si>
  <si>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</si>
  <si>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</si>
  <si>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</si>
  <si>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</si>
  <si>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</si>
  <si>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</si>
  <si>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</si>
  <si>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</si>
  <si>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</si>
  <si>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</si>
  <si>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</si>
  <si>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</si>
  <si>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</si>
  <si>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</si>
  <si>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</si>
  <si>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</si>
  <si>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</si>
  <si>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</si>
  <si>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</si>
  <si>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</si>
  <si>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</si>
  <si>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</si>
  <si>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</si>
  <si>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</si>
  <si>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</si>
  <si>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</si>
  <si>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</si>
  <si>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</si>
  <si>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</si>
  <si>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</si>
  <si>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</si>
  <si>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</si>
  <si>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</si>
  <si>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</si>
  <si>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</si>
  <si>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</si>
  <si>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</si>
  <si>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</si>
  <si>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</si>
  <si>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</si>
  <si>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</si>
  <si>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</si>
  <si>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</si>
  <si>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</si>
  <si>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</si>
  <si>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</si>
  <si>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</si>
  <si>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</si>
  <si>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</si>
  <si>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</si>
  <si>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</si>
  <si>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</si>
  <si>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</si>
  <si>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</si>
  <si>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</si>
  <si>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</si>
  <si>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</si>
  <si>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</si>
  <si>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</si>
  <si>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</si>
  <si>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</si>
  <si>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</si>
  <si>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</si>
  <si>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</si>
  <si>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</si>
  <si>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</si>
  <si>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</si>
  <si>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</si>
  <si>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</si>
  <si>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</si>
  <si>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</si>
  <si>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</si>
  <si>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</si>
  <si>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</si>
  <si>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</si>
  <si>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</si>
  <si>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</si>
  <si>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</si>
  <si>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</si>
  <si>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</si>
  <si>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</si>
  <si>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</si>
  <si>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</si>
  <si>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</si>
  <si>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</si>
  <si>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</si>
  <si>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</si>
  <si>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</si>
  <si>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</si>
  <si>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</si>
  <si>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</si>
  <si>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</si>
  <si>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</si>
  <si>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</si>
  <si>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</si>
  <si>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</si>
  <si>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</si>
  <si>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</si>
  <si>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</si>
  <si>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</si>
  <si>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</si>
  <si>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</si>
  <si>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</si>
  <si>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</si>
  <si>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</si>
  <si>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</si>
  <si>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</si>
  <si>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</si>
  <si>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</si>
  <si>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</si>
  <si>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</si>
  <si>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</si>
  <si>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</si>
  <si>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</si>
  <si>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</si>
  <si>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</si>
  <si>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</si>
  <si>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</si>
  <si>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</si>
  <si>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</si>
  <si>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</si>
  <si>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</si>
  <si>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</si>
  <si>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</si>
  <si>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</si>
  <si>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</si>
  <si>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</si>
  <si>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</si>
  <si>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</si>
  <si>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</si>
  <si>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</si>
  <si>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</si>
  <si>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</si>
  <si>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</si>
  <si>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</si>
  <si>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</si>
  <si>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</si>
  <si>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</si>
  <si>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</si>
  <si>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</si>
  <si>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</si>
  <si>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</si>
  <si>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</si>
  <si>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</si>
  <si>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</si>
  <si>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</si>
  <si>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</si>
  <si>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</si>
  <si>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</si>
  <si>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</si>
  <si>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</si>
  <si>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</si>
  <si>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</si>
  <si>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</si>
  <si>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</si>
  <si>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</si>
  <si>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</si>
  <si>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</si>
  <si>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</si>
  <si>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</si>
  <si>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</si>
  <si>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</si>
  <si>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</si>
  <si>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</si>
  <si>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</si>
  <si>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</si>
  <si>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</si>
  <si>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</si>
  <si>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</si>
  <si>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</si>
  <si>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</si>
  <si>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</si>
  <si>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</si>
  <si>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</si>
  <si>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</si>
  <si>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</si>
  <si>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</si>
  <si>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</si>
  <si>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</si>
  <si>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</si>
  <si>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</si>
  <si>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</si>
  <si>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</si>
  <si>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</si>
  <si>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</si>
  <si>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</si>
  <si>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</si>
  <si>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</si>
  <si>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</si>
  <si>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</si>
  <si>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</si>
  <si>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</si>
  <si>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</si>
  <si>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</si>
  <si>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</si>
  <si>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</si>
  <si>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</si>
  <si>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</si>
  <si>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</si>
  <si>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</si>
  <si>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</si>
  <si>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</si>
  <si>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</si>
  <si>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</si>
  <si>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</si>
  <si>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</si>
  <si>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</si>
  <si>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</si>
  <si>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</si>
  <si>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</si>
  <si>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</si>
  <si>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</si>
  <si>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</si>
  <si>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</si>
  <si>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</si>
  <si>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</si>
  <si>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</si>
  <si>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</si>
  <si>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</si>
  <si>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</si>
  <si>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</si>
  <si>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</si>
  <si>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</si>
  <si>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</si>
  <si>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</si>
  <si>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</si>
  <si>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</si>
  <si>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</si>
  <si>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</si>
  <si>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</si>
  <si>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</si>
  <si>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</si>
  <si>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</si>
  <si>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</si>
  <si>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</si>
  <si>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</si>
  <si>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</si>
  <si>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</si>
  <si>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</si>
  <si>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</si>
  <si>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</si>
  <si>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</si>
  <si>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</si>
  <si>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</si>
  <si>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</si>
  <si>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</si>
  <si>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</si>
  <si>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</si>
  <si>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</si>
  <si>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</si>
  <si>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</si>
  <si>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</si>
  <si>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</si>
  <si>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</si>
  <si>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</si>
  <si>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</si>
  <si>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</si>
  <si>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</si>
  <si>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</si>
  <si>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</si>
  <si>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</si>
  <si>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</si>
  <si>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</si>
  <si>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</si>
  <si>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</si>
  <si>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</si>
  <si>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</si>
  <si>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</si>
  <si>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</si>
  <si>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</si>
  <si>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</si>
  <si>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</si>
  <si>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</si>
  <si>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</si>
  <si>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</si>
  <si>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</si>
  <si>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</si>
  <si>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</si>
  <si>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</si>
  <si>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</si>
  <si>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</si>
  <si>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</si>
  <si>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</si>
  <si>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</si>
  <si>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</si>
  <si>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</si>
  <si>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</si>
  <si>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</si>
  <si>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</si>
  <si>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</si>
  <si>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</si>
  <si>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</si>
  <si>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</si>
  <si>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</si>
  <si>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</si>
  <si>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</si>
  <si>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</si>
  <si>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</si>
  <si>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</si>
  <si>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</si>
  <si>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</si>
  <si>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</si>
  <si>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</si>
  <si>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</si>
  <si>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</si>
  <si>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</si>
  <si>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</si>
  <si>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</si>
  <si>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</si>
  <si>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</si>
  <si>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</si>
  <si>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</si>
  <si>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</si>
  <si>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</si>
  <si>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</si>
  <si>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</si>
  <si>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</si>
  <si>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</si>
  <si>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</si>
  <si>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</si>
  <si>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</si>
  <si>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</si>
  <si>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</si>
  <si>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</si>
  <si>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</si>
  <si>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</si>
  <si>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</si>
  <si>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</si>
  <si>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</si>
  <si>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</si>
  <si>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</si>
  <si>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</si>
  <si>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</si>
  <si>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</si>
  <si>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</si>
  <si>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</si>
  <si>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</si>
  <si>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</si>
  <si>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</si>
  <si>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</si>
  <si>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</si>
  <si>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</si>
  <si>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</si>
  <si>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</si>
  <si>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</si>
  <si>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</si>
  <si>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</si>
  <si>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</si>
  <si>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</si>
  <si>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</si>
  <si>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</si>
  <si>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</si>
  <si>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</si>
  <si>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</si>
  <si>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</si>
  <si>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</si>
  <si>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</si>
  <si>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</si>
  <si>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</si>
  <si>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</si>
  <si>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</si>
  <si>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</si>
  <si>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</si>
  <si>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</si>
  <si>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</si>
  <si>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</si>
  <si>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</si>
  <si>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</si>
  <si>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</si>
  <si>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</si>
  <si>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</si>
  <si>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</si>
  <si>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</si>
  <si>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</si>
  <si>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</si>
  <si>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</si>
  <si>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</si>
  <si>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</si>
  <si>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</si>
  <si>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</si>
  <si>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</si>
  <si>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</si>
  <si>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</si>
  <si>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</si>
  <si>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</si>
  <si>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</si>
  <si>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</si>
  <si>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</si>
  <si>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</si>
  <si>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</si>
  <si>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</si>
  <si>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</si>
  <si>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</si>
  <si>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</si>
  <si>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</si>
  <si>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</si>
  <si>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</si>
  <si>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</si>
  <si>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</si>
  <si>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</si>
  <si>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</si>
  <si>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</si>
  <si>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</si>
  <si>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</si>
  <si>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</si>
  <si>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</si>
  <si>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</si>
  <si>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</si>
  <si>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</si>
  <si>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</si>
  <si>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</si>
  <si>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</si>
  <si>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</si>
  <si>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</si>
  <si>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</si>
  <si>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</si>
  <si>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</si>
  <si>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</si>
  <si>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</si>
  <si>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</si>
  <si>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</si>
  <si>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</si>
  <si>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</si>
  <si>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</si>
  <si>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</si>
  <si>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</si>
  <si>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</si>
  <si>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</si>
  <si>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</si>
  <si>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</si>
  <si>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</si>
  <si>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</si>
  <si>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</si>
  <si>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</si>
  <si>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</si>
  <si>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</si>
  <si>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</si>
  <si>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</si>
  <si>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</si>
  <si>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</si>
  <si>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</si>
  <si>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</si>
  <si>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</si>
  <si>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</si>
  <si>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</si>
  <si>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</si>
  <si>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</si>
  <si>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</si>
  <si>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</si>
  <si>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</si>
  <si>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</si>
  <si>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</si>
  <si>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</si>
  <si>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</si>
  <si>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</si>
  <si>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</si>
  <si>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</si>
  <si>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</si>
  <si>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</si>
  <si>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</si>
  <si>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</si>
  <si>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</si>
  <si>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</si>
  <si>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</si>
  <si>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</si>
  <si>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</si>
  <si>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</si>
  <si>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</si>
  <si>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</si>
  <si>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</si>
  <si>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</si>
  <si>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</si>
  <si>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</si>
  <si>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</si>
  <si>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</si>
  <si>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</si>
  <si>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</si>
  <si>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</si>
  <si>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</si>
  <si>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</si>
  <si>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</si>
  <si>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</si>
  <si>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</si>
  <si>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</si>
  <si>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</si>
  <si>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</si>
  <si>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</si>
  <si>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</si>
  <si>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</si>
  <si>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</si>
  <si>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</si>
  <si>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</si>
  <si>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</si>
  <si>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</si>
  <si>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</si>
  <si>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</si>
  <si>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</si>
  <si>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</si>
  <si>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</si>
  <si>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</si>
  <si>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</si>
  <si>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</si>
  <si>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</si>
  <si>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</si>
  <si>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</si>
  <si>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</si>
  <si>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</si>
  <si>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</si>
  <si>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</si>
  <si>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</si>
  <si>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</si>
  <si>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</si>
  <si>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</si>
  <si>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</si>
  <si>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</si>
  <si>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</si>
  <si>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</si>
  <si>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</si>
  <si>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</si>
  <si>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</si>
  <si>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</si>
  <si>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</si>
  <si>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</si>
  <si>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</si>
  <si>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</si>
  <si>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</si>
  <si>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</si>
  <si>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</si>
  <si>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</si>
  <si>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</si>
  <si>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</si>
  <si>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</si>
  <si>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</si>
  <si>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</si>
  <si>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</si>
  <si>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</si>
  <si>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</si>
  <si>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</si>
  <si>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</si>
  <si>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</si>
  <si>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</si>
  <si>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</si>
  <si>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</si>
  <si>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</si>
  <si>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</si>
  <si>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</si>
  <si>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</si>
  <si>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</si>
  <si>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</si>
  <si>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</si>
  <si>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</si>
  <si>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</si>
  <si>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</si>
  <si>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</si>
  <si>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</si>
  <si>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</si>
  <si>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</si>
  <si>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</si>
  <si>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</si>
  <si>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</si>
  <si>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</si>
  <si>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</si>
  <si>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</si>
  <si>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</si>
  <si>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</si>
  <si>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</si>
  <si>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</si>
  <si>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</si>
  <si>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</si>
  <si>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</si>
  <si>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</si>
  <si>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</si>
  <si>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</si>
  <si>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</si>
  <si>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</si>
  <si>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</si>
  <si>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</si>
  <si>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</si>
  <si>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</si>
  <si>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</si>
  <si>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</si>
  <si>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</si>
  <si>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</si>
  <si>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</si>
  <si>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</si>
  <si>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</si>
  <si>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</si>
  <si>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</si>
  <si>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</si>
  <si>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</si>
  <si>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</si>
  <si>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</si>
  <si>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</si>
  <si>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</si>
  <si>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</si>
  <si>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</si>
  <si>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</si>
  <si>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</si>
  <si>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</si>
  <si>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</si>
  <si>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</si>
  <si>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</si>
  <si>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</si>
  <si>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</si>
  <si>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</si>
  <si>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</si>
  <si>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</si>
  <si>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</si>
  <si>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</si>
  <si>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</si>
  <si>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</si>
  <si>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</si>
  <si>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</si>
  <si>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</si>
  <si>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</si>
  <si>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</si>
  <si>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</si>
  <si>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</si>
  <si>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</si>
  <si>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</si>
  <si>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</si>
  <si>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</si>
  <si>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</si>
  <si>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</si>
  <si>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</si>
  <si>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</si>
  <si>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</si>
  <si>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</si>
  <si>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</si>
  <si>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</si>
  <si>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</si>
  <si>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</si>
  <si>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</si>
  <si>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</si>
  <si>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</si>
  <si>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</si>
  <si>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</si>
  <si>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</si>
  <si>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</si>
  <si>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</si>
  <si>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</si>
  <si>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</si>
  <si>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</si>
  <si>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</si>
  <si>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</si>
  <si>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</si>
  <si>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</si>
  <si>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</si>
  <si>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</si>
  <si>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</si>
  <si>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</si>
  <si>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</si>
  <si>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</si>
  <si>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</si>
  <si>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</si>
  <si>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</si>
  <si>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</si>
  <si>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</si>
  <si>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</si>
  <si>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</si>
  <si>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</si>
  <si>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</si>
  <si>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</si>
  <si>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</si>
  <si>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</si>
  <si>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</si>
  <si>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</si>
  <si>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</si>
  <si>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</si>
  <si>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</si>
  <si>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</si>
  <si>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</si>
  <si>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</si>
  <si>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</si>
  <si>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</si>
  <si>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</si>
  <si>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</si>
  <si>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</si>
  <si>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</si>
  <si>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</si>
  <si>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</si>
  <si>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</si>
  <si>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</si>
  <si>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</si>
  <si>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</si>
  <si>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</si>
  <si>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</si>
  <si>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</si>
  <si>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</si>
  <si>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</si>
  <si>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</si>
  <si>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</si>
  <si>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</si>
  <si>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</si>
  <si>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</si>
  <si>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</si>
  <si>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</si>
  <si>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</si>
  <si>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</si>
  <si>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</si>
  <si>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</si>
  <si>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</si>
  <si>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</si>
  <si>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</si>
  <si>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</si>
  <si>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</si>
  <si>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</si>
  <si>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</si>
  <si>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</si>
  <si>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</si>
  <si>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</si>
  <si>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</si>
  <si>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</si>
  <si>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</si>
  <si>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</si>
  <si>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</si>
  <si>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</si>
  <si>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</si>
  <si>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</si>
  <si>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</si>
  <si>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</si>
  <si>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</si>
  <si>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</si>
  <si>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</si>
  <si>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</si>
  <si>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</si>
  <si>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</si>
  <si>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</si>
  <si>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</si>
  <si>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</si>
  <si>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</si>
  <si>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</si>
  <si>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</si>
  <si>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</si>
  <si>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</si>
  <si>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</si>
  <si>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</si>
  <si>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</si>
  <si>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</si>
  <si>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</si>
  <si>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</si>
  <si>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</si>
  <si>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</si>
  <si>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</si>
  <si>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</si>
  <si>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</si>
  <si>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</si>
  <si>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</si>
  <si>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</si>
  <si>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</si>
  <si>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</si>
  <si>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</si>
  <si>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</si>
  <si>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</si>
  <si>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</si>
  <si>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</si>
  <si>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</si>
  <si>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</si>
  <si>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</si>
  <si>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</si>
  <si>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</si>
  <si>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</si>
  <si>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</si>
  <si>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</si>
  <si>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</si>
  <si>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</si>
  <si>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</si>
  <si>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</si>
  <si>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</si>
  <si>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</si>
  <si>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</si>
  <si>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</si>
  <si>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</si>
  <si>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</si>
  <si>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</si>
  <si>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</si>
  <si>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</si>
  <si>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</si>
  <si>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</si>
  <si>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</si>
  <si>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</si>
  <si>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</si>
  <si>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</si>
  <si>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</si>
  <si>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</si>
  <si>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</si>
  <si>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</si>
  <si>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</si>
  <si>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</si>
  <si>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</si>
  <si>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</si>
  <si>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</si>
  <si>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</si>
  <si>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</si>
  <si>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</si>
  <si>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</si>
  <si>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</si>
  <si>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</si>
  <si>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</si>
  <si>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</si>
  <si>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</si>
  <si>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</si>
  <si>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</si>
  <si>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</si>
  <si>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</si>
  <si>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</si>
  <si>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</si>
  <si>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</si>
  <si>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</si>
  <si>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</si>
  <si>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</si>
  <si>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</si>
  <si>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</si>
  <si>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</si>
  <si>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</si>
  <si>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</si>
  <si>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</si>
  <si>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</si>
  <si>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</si>
  <si>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</si>
  <si>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</si>
  <si>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</si>
  <si>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</si>
  <si>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</si>
  <si>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</si>
  <si>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</si>
  <si>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</si>
  <si>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</si>
  <si>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</si>
  <si>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</si>
  <si>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</si>
  <si>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</si>
  <si>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</si>
  <si>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</si>
  <si>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</si>
  <si>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</si>
  <si>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</si>
  <si>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</si>
  <si>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</si>
  <si>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</si>
  <si>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</si>
  <si>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</si>
  <si>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</si>
  <si>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</si>
  <si>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</si>
  <si>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</si>
  <si>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</si>
  <si>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</si>
  <si>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</si>
  <si>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</si>
  <si>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</si>
  <si>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</si>
  <si>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</si>
  <si>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</si>
  <si>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</si>
  <si>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</si>
  <si>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</si>
  <si>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</si>
  <si>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</si>
  <si>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</si>
  <si>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</si>
  <si>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</si>
  <si>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</si>
  <si>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</si>
  <si>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</si>
  <si>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</si>
  <si>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</si>
  <si>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</si>
  <si>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</si>
  <si>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</si>
  <si>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</si>
  <si>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</si>
  <si>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</si>
  <si>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</si>
  <si>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</si>
  <si>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</si>
  <si>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</si>
  <si>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</si>
  <si>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</si>
  <si>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</si>
  <si>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</si>
  <si>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</si>
  <si>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</si>
  <si>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</si>
  <si>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</si>
  <si>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</si>
  <si>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</si>
  <si>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</si>
  <si>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</si>
  <si>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</si>
  <si>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</si>
  <si>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</si>
  <si>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</si>
  <si>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</si>
  <si>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</si>
  <si>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</si>
  <si>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</si>
  <si>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</si>
  <si>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</si>
  <si>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</si>
  <si>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</si>
  <si>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</si>
  <si>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</si>
  <si>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</si>
  <si>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</si>
  <si>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</si>
  <si>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</si>
  <si>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</si>
  <si>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</si>
  <si>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</si>
  <si>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</si>
  <si>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</si>
  <si>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</si>
  <si>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</si>
  <si>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</si>
  <si>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</si>
  <si>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</si>
  <si>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</si>
  <si>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</si>
  <si>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</si>
  <si>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</si>
  <si>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</si>
  <si>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</si>
  <si>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</si>
  <si>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</si>
  <si>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</si>
  <si>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</si>
  <si>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</si>
  <si>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</si>
  <si>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</si>
  <si>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</si>
  <si>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</si>
  <si>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</si>
  <si>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</si>
  <si>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</si>
  <si>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</si>
  <si>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</si>
  <si>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</si>
  <si>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</si>
  <si>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</si>
  <si>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</si>
  <si>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</si>
  <si>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</si>
  <si>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</si>
  <si>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</si>
  <si>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</si>
  <si>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</si>
  <si>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</si>
  <si>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</si>
  <si>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</si>
  <si>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</si>
  <si>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</si>
  <si>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</si>
  <si>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</si>
  <si>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</si>
  <si>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</si>
  <si>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</si>
  <si>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</si>
  <si>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</si>
  <si>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</si>
  <si>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</si>
  <si>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</si>
  <si>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</si>
  <si>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</si>
  <si>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</si>
  <si>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</si>
  <si>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</si>
  <si>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</si>
  <si>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</si>
  <si>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</si>
  <si>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</si>
  <si>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</si>
  <si>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</si>
  <si>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</si>
  <si>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</si>
  <si>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</si>
  <si>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</si>
  <si>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</si>
  <si>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</si>
  <si>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</si>
  <si>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</si>
  <si>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</si>
  <si>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</si>
  <si>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</si>
  <si>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</si>
  <si>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</si>
  <si>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</si>
  <si>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</si>
  <si>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</si>
  <si>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</si>
  <si>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</si>
  <si>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</si>
  <si>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</si>
  <si>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</si>
  <si>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</si>
  <si>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</si>
  <si>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</si>
  <si>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</si>
  <si>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</si>
  <si>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</si>
  <si>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</si>
  <si>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</si>
  <si>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</si>
  <si>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</si>
  <si>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</si>
  <si>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</si>
  <si>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</si>
  <si>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</si>
  <si>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</si>
  <si>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</si>
  <si>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</si>
  <si>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</si>
  <si>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</si>
  <si>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</si>
  <si>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</si>
  <si>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</si>
  <si>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</si>
  <si>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</si>
  <si>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</si>
  <si>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</si>
  <si>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</si>
  <si>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</si>
  <si>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</si>
  <si>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</si>
  <si>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</si>
  <si>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</si>
  <si>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</si>
  <si>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</si>
  <si>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</si>
  <si>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</si>
  <si>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</si>
  <si>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</si>
  <si>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</si>
  <si>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</si>
  <si>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</si>
  <si>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</si>
  <si>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</si>
  <si>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</si>
  <si>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</si>
  <si>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</si>
  <si>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</si>
  <si>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</si>
  <si>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</si>
  <si>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</si>
  <si>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</si>
  <si>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</si>
  <si>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</si>
  <si>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</si>
  <si>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</si>
  <si>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</si>
  <si>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</si>
  <si>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</si>
  <si>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</si>
  <si>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</si>
  <si>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</si>
  <si>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</si>
  <si>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</si>
  <si>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</si>
  <si>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</si>
  <si>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</si>
  <si>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</si>
  <si>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</si>
  <si>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</si>
  <si>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</si>
  <si>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</si>
  <si>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</si>
  <si>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</si>
  <si>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</si>
  <si>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</si>
  <si>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</si>
  <si>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</si>
  <si>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</si>
  <si>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</si>
  <si>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</si>
  <si>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</si>
  <si>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</si>
  <si>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</si>
  <si>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</si>
  <si>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</si>
  <si>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</si>
  <si>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</si>
  <si>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</si>
  <si>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</si>
  <si>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</si>
  <si>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</si>
  <si>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</si>
  <si>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</si>
  <si>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</si>
  <si>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</si>
  <si>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</si>
  <si>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</si>
  <si>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</si>
  <si>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</si>
  <si>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</si>
  <si>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</si>
  <si>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</si>
  <si>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</si>
  <si>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</si>
  <si>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</si>
  <si>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</si>
  <si>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</si>
  <si>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</si>
  <si>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</si>
  <si>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</si>
  <si>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</si>
  <si>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</si>
  <si>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</si>
  <si>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</si>
  <si>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</si>
  <si>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</si>
  <si>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</si>
  <si>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</si>
  <si>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</si>
  <si>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</si>
  <si>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</si>
  <si>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</si>
  <si>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</si>
  <si>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</si>
  <si>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</si>
  <si>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</si>
  <si>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</si>
  <si>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</si>
  <si>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</si>
  <si>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</si>
  <si>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</si>
  <si>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</si>
  <si>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</si>
  <si>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</si>
  <si>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</si>
  <si>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</si>
  <si>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</si>
  <si>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</si>
  <si>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</si>
  <si>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</si>
  <si>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</si>
  <si>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</si>
  <si>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</si>
  <si>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</si>
  <si>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</si>
  <si>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</si>
  <si>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</si>
  <si>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</si>
  <si>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</si>
  <si>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</si>
  <si>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</si>
  <si>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</si>
  <si>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</si>
  <si>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</si>
  <si>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</si>
  <si>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</si>
  <si>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</si>
  <si>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</si>
  <si>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</si>
  <si>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</si>
  <si>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</si>
  <si>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</si>
  <si>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</si>
  <si>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</si>
  <si>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</si>
  <si>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</si>
  <si>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</si>
  <si>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</si>
  <si>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</si>
  <si>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</si>
  <si>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</si>
  <si>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</si>
  <si>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</si>
  <si>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</si>
  <si>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</si>
  <si>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</si>
  <si>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</si>
  <si>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</si>
  <si>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</si>
  <si>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</si>
  <si>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</si>
  <si>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</si>
  <si>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</si>
  <si>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</si>
  <si>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</si>
  <si>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</si>
  <si>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</si>
  <si>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</si>
  <si>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</si>
  <si>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</si>
  <si>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</si>
  <si>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</si>
  <si>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</si>
  <si>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</si>
  <si>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</si>
  <si>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</si>
  <si>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</si>
  <si>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</si>
  <si>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</si>
  <si>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</si>
  <si>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</si>
  <si>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</si>
  <si>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</si>
  <si>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</si>
  <si>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</si>
  <si>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</si>
  <si>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</si>
  <si>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</si>
  <si>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</si>
  <si>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</si>
  <si>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</si>
  <si>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</si>
  <si>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</si>
  <si>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</si>
  <si>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</si>
  <si>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</si>
  <si>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</si>
  <si>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</si>
  <si>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</si>
  <si>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</si>
  <si>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</si>
  <si>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</si>
  <si>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</si>
  <si>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</si>
  <si>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</si>
  <si>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</si>
  <si>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</si>
  <si>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</si>
  <si>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</si>
  <si>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</si>
  <si>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</si>
  <si>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</si>
  <si>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</si>
  <si>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</si>
  <si>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</si>
  <si>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</si>
  <si>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</si>
  <si>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</si>
  <si>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</si>
  <si>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</si>
  <si>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</si>
  <si>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</si>
  <si>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</si>
  <si>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</si>
  <si>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</si>
  <si>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</si>
  <si>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</si>
  <si>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</si>
  <si>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</si>
  <si>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</si>
  <si>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</si>
  <si>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</si>
  <si>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</si>
  <si>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</si>
  <si>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</si>
  <si>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</si>
  <si>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</si>
  <si>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</si>
  <si>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</si>
  <si>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</si>
  <si>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</si>
  <si>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</si>
  <si>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</si>
  <si>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</si>
  <si>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</si>
  <si>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</si>
  <si>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</si>
  <si>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</si>
  <si>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</si>
  <si>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</si>
  <si>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</si>
  <si>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</si>
  <si>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</si>
  <si>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</si>
  <si>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</si>
  <si>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</si>
  <si>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</si>
  <si>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</si>
  <si>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</si>
  <si>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</si>
  <si>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</si>
  <si>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</si>
  <si>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</si>
  <si>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</si>
  <si>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</si>
  <si>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</si>
  <si>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</si>
  <si>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</si>
  <si>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</si>
  <si>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</si>
  <si>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</si>
  <si>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</si>
  <si>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</si>
  <si>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</si>
  <si>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</si>
  <si>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</si>
  <si>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</si>
  <si>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</si>
  <si>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</si>
  <si>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</si>
  <si>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</si>
  <si>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</si>
  <si>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</si>
  <si>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</si>
  <si>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</si>
  <si>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</si>
  <si>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</si>
  <si>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</si>
  <si>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</si>
  <si>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</si>
  <si>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</si>
  <si>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</si>
  <si>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</si>
  <si>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</si>
  <si>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</si>
  <si>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</si>
  <si>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</si>
  <si>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</si>
  <si>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</si>
  <si>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</si>
  <si>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</si>
  <si>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</si>
  <si>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</si>
  <si>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</si>
  <si>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</si>
  <si>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</si>
  <si>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</si>
  <si>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</si>
  <si>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</si>
  <si>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</si>
  <si>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</si>
  <si>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</si>
  <si>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</si>
  <si>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</si>
  <si>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</si>
  <si>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</si>
  <si>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</si>
  <si>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</si>
  <si>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</si>
  <si>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</si>
  <si>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</si>
  <si>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</si>
  <si>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</si>
  <si>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</si>
  <si>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</si>
  <si>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</si>
  <si>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</si>
  <si>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</si>
  <si>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</si>
  <si>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</si>
  <si>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</si>
  <si>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</si>
  <si>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</si>
  <si>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</si>
  <si>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</si>
  <si>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</si>
  <si>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</si>
  <si>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</si>
  <si>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</si>
  <si>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</si>
  <si>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</si>
  <si>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</si>
  <si>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</si>
  <si>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</si>
  <si>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</si>
  <si>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</si>
  <si>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</si>
  <si>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</si>
  <si>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</si>
  <si>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</si>
  <si>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</si>
  <si>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</si>
  <si>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</si>
  <si>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</si>
  <si>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</si>
  <si>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</si>
  <si>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</si>
  <si>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</si>
  <si>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</si>
  <si>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</si>
  <si>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</si>
  <si>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</si>
  <si>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</si>
  <si>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</si>
  <si>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</si>
  <si>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</si>
  <si>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</si>
  <si>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</si>
  <si>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</si>
  <si>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</si>
  <si>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</si>
  <si>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</si>
  <si>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</si>
  <si>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</si>
  <si>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</si>
  <si>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</si>
  <si>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</si>
  <si>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</si>
  <si>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</si>
  <si>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</si>
  <si>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</si>
  <si>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</si>
  <si>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</si>
  <si>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</si>
  <si>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</si>
  <si>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</si>
  <si>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</si>
  <si>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</si>
  <si>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</si>
  <si>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</si>
  <si>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</si>
  <si>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</si>
  <si>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</si>
  <si>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</si>
  <si>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</si>
  <si>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</si>
  <si>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</si>
  <si>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</si>
  <si>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</si>
  <si>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</si>
  <si>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</si>
  <si>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</si>
  <si>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</si>
  <si>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</si>
  <si>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</si>
  <si>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</si>
  <si>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</si>
  <si>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</si>
  <si>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</si>
  <si>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</si>
  <si>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</si>
  <si>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</si>
  <si>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</si>
  <si>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</si>
  <si>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</si>
  <si>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</si>
  <si>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</si>
  <si>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</si>
  <si>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</si>
  <si>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</si>
  <si>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</si>
  <si>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</si>
  <si>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</si>
  <si>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</si>
  <si>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</si>
  <si>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</si>
  <si>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</si>
  <si>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</si>
  <si>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</si>
  <si>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</si>
  <si>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</si>
  <si>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</si>
  <si>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</si>
  <si>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</si>
  <si>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</si>
  <si>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</si>
  <si>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</si>
  <si>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</si>
  <si>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</si>
  <si>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</si>
  <si>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</si>
  <si>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</si>
  <si>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</si>
  <si>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</si>
  <si>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</si>
  <si>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</si>
  <si>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</si>
  <si>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</si>
  <si>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</si>
  <si>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</si>
  <si>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</si>
  <si>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</si>
  <si>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</si>
  <si>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</si>
  <si>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</si>
  <si>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</si>
  <si>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</si>
  <si>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</si>
  <si>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</si>
  <si>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</si>
  <si>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</si>
  <si>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</si>
  <si>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</si>
  <si>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</si>
  <si>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</si>
  <si>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</si>
  <si>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</si>
  <si>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</si>
  <si>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</si>
  <si>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</si>
  <si>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</si>
  <si>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</si>
  <si>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</si>
  <si>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</si>
  <si>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</si>
  <si>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</si>
  <si>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</si>
  <si>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</si>
  <si>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</si>
  <si>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</si>
  <si>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</si>
  <si>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</si>
  <si>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</si>
  <si>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</si>
  <si>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</si>
  <si>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</si>
  <si>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</si>
  <si>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</si>
  <si>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</si>
  <si>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</si>
  <si>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</si>
  <si>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</si>
  <si>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</si>
  <si>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</si>
  <si>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</si>
  <si>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</si>
  <si>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</si>
  <si>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</si>
  <si>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</si>
  <si>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</si>
  <si>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</si>
  <si>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</si>
  <si>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</si>
  <si>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</si>
  <si>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</si>
  <si>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</si>
  <si>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</si>
  <si>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</si>
  <si>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</si>
  <si>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</si>
  <si>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</si>
  <si>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</si>
  <si>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</si>
  <si>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</si>
  <si>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</si>
  <si>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</si>
  <si>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</si>
  <si>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</si>
  <si>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</si>
  <si>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</si>
  <si>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</si>
  <si>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</si>
  <si>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</si>
  <si>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</si>
  <si>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</si>
  <si>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</si>
  <si>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</si>
  <si>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</si>
  <si>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</si>
  <si>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</si>
  <si>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</si>
  <si>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</si>
  <si>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</si>
  <si>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</si>
  <si>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</si>
  <si>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</si>
  <si>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</si>
  <si>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</si>
  <si>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</si>
  <si>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</si>
  <si>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</si>
  <si>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</si>
  <si>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</si>
  <si>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</si>
  <si>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</si>
  <si>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</si>
  <si>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</si>
  <si>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</si>
  <si>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</si>
  <si>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</si>
  <si>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</si>
  <si>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</si>
  <si>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</si>
  <si>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</si>
  <si>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</si>
  <si>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</si>
  <si>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</si>
  <si>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</si>
  <si>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</si>
  <si>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</si>
  <si>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</si>
  <si>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</si>
  <si>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</si>
  <si>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</si>
  <si>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</si>
  <si>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</si>
  <si>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</si>
  <si>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</si>
  <si>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</si>
  <si>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</si>
  <si>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</si>
  <si>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</si>
  <si>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</si>
  <si>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</si>
  <si>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</si>
  <si>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</si>
  <si>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</si>
  <si>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</si>
  <si>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</si>
  <si>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</si>
  <si>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</si>
  <si>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</si>
  <si>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</si>
  <si>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</si>
  <si>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</si>
  <si>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</si>
  <si>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</si>
  <si>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</si>
  <si>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</si>
  <si>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</si>
  <si>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</si>
  <si>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</si>
  <si>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</si>
  <si>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</si>
  <si>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</si>
  <si>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</si>
  <si>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</si>
  <si>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</si>
  <si>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</si>
  <si>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</si>
  <si>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</si>
  <si>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</si>
  <si>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</si>
  <si>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</si>
  <si>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</si>
  <si>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</si>
  <si>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</si>
  <si>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</si>
  <si>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</si>
  <si>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</si>
  <si>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</si>
  <si>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</si>
  <si>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</si>
  <si>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</si>
  <si>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</si>
  <si>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</si>
  <si>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</si>
  <si>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</si>
  <si>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</si>
  <si>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</si>
  <si>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</si>
  <si>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</si>
  <si>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</si>
  <si>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</si>
  <si>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</si>
  <si>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</si>
  <si>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</si>
  <si>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</si>
  <si>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</si>
  <si>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</si>
  <si>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</si>
  <si>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</si>
  <si>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</si>
  <si>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</si>
  <si>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</si>
  <si>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</si>
  <si>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</si>
  <si>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</si>
  <si>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</si>
  <si>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</si>
  <si>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</si>
  <si>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</si>
  <si>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</si>
  <si>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</si>
  <si>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</si>
  <si>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</si>
  <si>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</si>
  <si>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</si>
  <si>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</si>
  <si>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</si>
  <si>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</si>
  <si>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</si>
  <si>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</si>
  <si>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</si>
  <si>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</si>
  <si>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</si>
  <si>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</si>
  <si>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</si>
  <si>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</si>
  <si>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</si>
  <si>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</si>
  <si>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</si>
  <si>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</si>
  <si>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</si>
  <si>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</si>
  <si>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</si>
  <si>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</si>
  <si>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</si>
  <si>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</si>
  <si>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</si>
  <si>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</si>
  <si>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</si>
  <si>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</si>
  <si>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</si>
  <si>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</si>
  <si>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</si>
  <si>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</si>
  <si>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</si>
  <si>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</si>
  <si>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</si>
  <si>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</si>
  <si>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</si>
  <si>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</si>
  <si>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</si>
  <si>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</si>
  <si>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</si>
  <si>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</si>
  <si>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</si>
  <si>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</si>
  <si>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</si>
  <si>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</si>
  <si>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</si>
  <si>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</si>
  <si>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</si>
  <si>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</si>
  <si>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</si>
  <si>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</si>
  <si>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</si>
  <si>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</si>
  <si>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</si>
  <si>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</si>
  <si>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</si>
  <si>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</si>
  <si>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</si>
  <si>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</si>
  <si>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</si>
  <si>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</si>
  <si>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</si>
  <si>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</si>
  <si>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</si>
  <si>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</si>
  <si>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</si>
  <si>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</si>
  <si>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</si>
  <si>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</si>
  <si>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</si>
  <si>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</si>
  <si>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</si>
  <si>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</si>
  <si>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</si>
  <si>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</si>
  <si>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</si>
  <si>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</si>
  <si>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</si>
  <si>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</si>
  <si>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</si>
  <si>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</si>
  <si>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</si>
  <si>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</si>
  <si>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</si>
  <si>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</si>
  <si>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</si>
  <si>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</si>
  <si>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</si>
  <si>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</si>
  <si>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</si>
  <si>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</si>
  <si>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</si>
  <si>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</si>
  <si>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</si>
  <si>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</si>
  <si>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</si>
  <si>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</si>
  <si>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</si>
  <si>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</si>
  <si>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</si>
  <si>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</si>
  <si>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</si>
  <si>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</si>
  <si>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</si>
  <si>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</si>
  <si>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</si>
  <si>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</si>
  <si>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</si>
  <si>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</si>
  <si>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</si>
  <si>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</si>
  <si>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</si>
  <si>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</si>
  <si>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</si>
  <si>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</si>
  <si>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</si>
  <si>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</si>
  <si>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</si>
  <si>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</si>
  <si>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</si>
  <si>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</si>
  <si>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</si>
  <si>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</si>
  <si>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</si>
  <si>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</si>
  <si>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</si>
  <si>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</si>
  <si>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</si>
  <si>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</si>
  <si>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</si>
  <si>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</si>
  <si>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</si>
  <si>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</si>
  <si>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</si>
  <si>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</si>
  <si>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</si>
  <si>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</si>
  <si>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</si>
  <si>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</si>
  <si>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</si>
  <si>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</si>
  <si>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</si>
  <si>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</si>
  <si>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</si>
  <si>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</si>
  <si>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</si>
  <si>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</si>
  <si>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</si>
  <si>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</si>
  <si>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</si>
  <si>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</si>
  <si>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</si>
  <si>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</si>
  <si>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</si>
  <si>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</si>
  <si>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</si>
  <si>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</si>
  <si>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</si>
  <si>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</si>
  <si>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</si>
  <si>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</si>
  <si>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</si>
  <si>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</si>
  <si>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</si>
  <si>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</si>
  <si>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</si>
  <si>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</si>
  <si>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</si>
  <si>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</si>
  <si>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</si>
  <si>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</si>
  <si>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</si>
  <si>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</si>
  <si>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</si>
  <si>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</si>
  <si>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</si>
  <si>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</si>
  <si>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</si>
  <si>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</si>
  <si>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</si>
  <si>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</si>
  <si>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</si>
  <si>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</si>
  <si>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</si>
  <si>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</si>
  <si>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</si>
  <si>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</si>
  <si>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</si>
  <si>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</si>
  <si>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</si>
  <si>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</si>
  <si>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</si>
  <si>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</si>
  <si>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</si>
  <si>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</si>
  <si>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</si>
  <si>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</si>
  <si>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</si>
  <si>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</si>
  <si>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</si>
  <si>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</si>
  <si>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</si>
  <si>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</si>
  <si>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</si>
  <si>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</si>
  <si>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</si>
  <si>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</si>
  <si>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</si>
  <si>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</si>
  <si>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</si>
  <si>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</si>
  <si>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</si>
  <si>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</si>
  <si>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</si>
  <si>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</si>
  <si>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</si>
  <si>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</si>
  <si>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</si>
  <si>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</si>
  <si>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</si>
  <si>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</si>
  <si>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</si>
  <si>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</si>
  <si>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</si>
  <si>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</si>
  <si>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</si>
  <si>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</si>
  <si>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</si>
  <si>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</si>
  <si>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</si>
  <si>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</si>
  <si>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</si>
  <si>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</si>
  <si>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</si>
  <si>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</si>
  <si>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</si>
  <si>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</si>
  <si>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</si>
  <si>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</si>
  <si>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</si>
  <si>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</si>
  <si>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</si>
  <si>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</si>
  <si>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</si>
  <si>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</si>
  <si>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</si>
  <si>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</si>
  <si>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</si>
  <si>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</si>
  <si>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</si>
  <si>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</si>
  <si>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</si>
  <si>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</si>
  <si>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</si>
  <si>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</si>
  <si>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</si>
  <si>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</si>
  <si>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</si>
  <si>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</si>
  <si>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</si>
  <si>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</si>
  <si>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</si>
  <si>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</si>
  <si>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</si>
  <si>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</si>
  <si>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</si>
  <si>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</si>
  <si>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</si>
  <si>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</si>
  <si>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</si>
  <si>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</si>
  <si>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</si>
  <si>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</si>
  <si>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</si>
  <si>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</si>
  <si>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</si>
  <si>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</si>
  <si>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</si>
  <si>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</si>
  <si>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</si>
  <si>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</si>
  <si>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</si>
  <si>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</si>
  <si>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</si>
  <si>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</si>
  <si>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</si>
  <si>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</si>
  <si>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</si>
  <si>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</si>
  <si>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</si>
  <si>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</si>
  <si>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</si>
  <si>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</si>
  <si>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</si>
  <si>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</si>
  <si>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</si>
  <si>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</si>
  <si>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</si>
  <si>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</si>
  <si>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</si>
  <si>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</si>
  <si>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</si>
  <si>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</si>
  <si>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</si>
  <si>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</si>
  <si>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</si>
  <si>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</si>
  <si>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</si>
  <si>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</si>
  <si>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</si>
  <si>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</si>
  <si>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</si>
  <si>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</si>
  <si>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</si>
  <si>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</si>
  <si>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</si>
  <si>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</si>
  <si>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</si>
  <si>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</si>
  <si>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</si>
  <si>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</si>
  <si>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</si>
  <si>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</si>
  <si>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</si>
  <si>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</si>
  <si>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</si>
  <si>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</si>
  <si>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</si>
  <si>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</si>
  <si>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</si>
  <si>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</si>
  <si>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</si>
  <si>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</si>
  <si>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</si>
  <si>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</si>
  <si>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</si>
  <si>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</si>
  <si>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</si>
  <si>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</si>
  <si>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</si>
  <si>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</si>
  <si>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</si>
  <si>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</si>
  <si>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</si>
  <si>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</si>
  <si>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</si>
  <si>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</si>
  <si>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</si>
  <si>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</si>
  <si>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</si>
  <si>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</si>
  <si>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</si>
  <si>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</si>
  <si>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</si>
  <si>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</si>
  <si>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</si>
  <si>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</si>
  <si>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</si>
  <si>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</si>
  <si>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</si>
  <si>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</si>
  <si>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</si>
  <si>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</si>
  <si>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</si>
  <si>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</si>
  <si>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</si>
  <si>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</si>
  <si>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</si>
  <si>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</si>
  <si>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</si>
  <si>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</si>
  <si>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</si>
  <si>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</si>
  <si>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</si>
  <si>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</si>
  <si>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</si>
  <si>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</si>
  <si>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</si>
  <si>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</si>
  <si>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</si>
  <si>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</si>
  <si>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</si>
  <si>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</si>
  <si>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</si>
  <si>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</si>
  <si>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</si>
  <si>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</si>
  <si>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</si>
  <si>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</si>
  <si>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</si>
  <si>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</si>
  <si>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</si>
  <si>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</si>
  <si>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</si>
  <si>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</si>
  <si>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</si>
  <si>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</si>
  <si>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</si>
  <si>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</si>
  <si>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</si>
  <si>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</si>
  <si>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</si>
  <si>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</si>
  <si>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</si>
  <si>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</si>
  <si>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</si>
  <si>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</si>
  <si>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</si>
  <si>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</si>
  <si>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</si>
  <si>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</si>
  <si>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</si>
  <si>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</si>
  <si>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</si>
  <si>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</si>
  <si>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</si>
  <si>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</si>
  <si>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</si>
  <si>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</si>
  <si>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</si>
  <si>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</si>
  <si>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</si>
  <si>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</si>
  <si>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</si>
  <si>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</si>
  <si>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</si>
  <si>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</si>
  <si>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</si>
  <si>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</si>
  <si>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</si>
  <si>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</si>
  <si>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</si>
  <si>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</si>
  <si>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</si>
  <si>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</si>
  <si>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</si>
  <si>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</si>
  <si>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</si>
  <si>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</si>
  <si>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</si>
  <si>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</si>
  <si>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</si>
  <si>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</si>
  <si>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</si>
  <si>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</si>
  <si>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</si>
  <si>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</si>
  <si>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</si>
  <si>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</si>
  <si>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</si>
  <si>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</si>
  <si>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</si>
  <si>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</si>
  <si>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</si>
  <si>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</si>
  <si>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</si>
  <si>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</si>
  <si>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</si>
  <si>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</si>
  <si>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</si>
  <si>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</si>
  <si>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</si>
  <si>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</si>
  <si>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</si>
  <si>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</si>
  <si>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</si>
  <si>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</si>
  <si>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</si>
  <si>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</si>
  <si>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</si>
  <si>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</si>
  <si>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</si>
  <si>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</si>
  <si>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</si>
  <si>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</si>
  <si>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</si>
  <si>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</si>
  <si>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</si>
  <si>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</si>
  <si>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</si>
  <si>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</si>
  <si>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</si>
  <si>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</si>
  <si>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</si>
  <si>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</si>
  <si>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</si>
  <si>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</si>
  <si>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</si>
  <si>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</si>
  <si>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</si>
  <si>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</si>
  <si>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</si>
  <si>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</si>
  <si>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</si>
  <si>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</si>
  <si>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</si>
  <si>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</si>
  <si>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</si>
  <si>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</si>
  <si>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</si>
  <si>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</si>
  <si>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</si>
  <si>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</si>
  <si>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</si>
  <si>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</si>
  <si>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</si>
  <si>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</si>
  <si>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</si>
  <si>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</si>
  <si>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</si>
  <si>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</si>
  <si>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</si>
  <si>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</si>
  <si>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</si>
  <si>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</si>
  <si>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</si>
  <si>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</si>
  <si>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</si>
  <si>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</si>
  <si>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</si>
  <si>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</si>
  <si>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</si>
  <si>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</si>
  <si>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</si>
  <si>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</si>
  <si>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</si>
  <si>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</si>
  <si>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</si>
  <si>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</si>
  <si>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</si>
  <si>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</si>
  <si>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</si>
  <si>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</si>
  <si>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</si>
  <si>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</si>
  <si>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</si>
  <si>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</si>
  <si>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</si>
  <si>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</si>
  <si>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</si>
  <si>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</si>
  <si>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</si>
  <si>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</si>
  <si>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</si>
  <si>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</si>
  <si>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</si>
  <si>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</si>
  <si>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</si>
  <si>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</si>
  <si>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</si>
  <si>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</si>
  <si>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</si>
  <si>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</si>
  <si>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</si>
  <si>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</si>
  <si>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</si>
  <si>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</si>
  <si>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</si>
  <si>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</si>
  <si>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</si>
  <si>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</si>
  <si>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</si>
  <si>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</si>
  <si>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</si>
  <si>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</si>
  <si>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</si>
  <si>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</si>
  <si>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</si>
  <si>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</si>
  <si>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</si>
  <si>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</si>
  <si>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</si>
  <si>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</si>
  <si>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</si>
  <si>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</si>
  <si>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</si>
  <si>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</si>
  <si>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</si>
  <si>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</si>
  <si>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</si>
  <si>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</si>
  <si>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</si>
  <si>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</si>
  <si>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</si>
  <si>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</si>
  <si>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</si>
  <si>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</si>
  <si>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</si>
  <si>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</si>
  <si>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</si>
  <si>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</si>
  <si>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</si>
  <si>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</si>
  <si>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</si>
  <si>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</si>
  <si>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</si>
  <si>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</si>
  <si>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</si>
  <si>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</si>
  <si>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</si>
  <si>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</si>
  <si>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</si>
  <si>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</si>
  <si>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</si>
  <si>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</si>
  <si>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</si>
  <si>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</si>
  <si>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</si>
  <si>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</si>
  <si>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</si>
  <si>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</si>
  <si>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</si>
  <si>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</si>
  <si>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</si>
  <si>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</si>
  <si>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</si>
  <si>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</si>
  <si>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</si>
  <si>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</si>
  <si>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</si>
  <si>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</si>
  <si>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</si>
  <si>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</si>
  <si>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</si>
  <si>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</si>
  <si>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</si>
  <si>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</si>
  <si>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</si>
  <si>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</si>
  <si>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</si>
  <si>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</si>
  <si>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</si>
  <si>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</si>
  <si>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</si>
  <si>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</si>
  <si>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</si>
  <si>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</si>
  <si>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</si>
  <si>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</si>
  <si>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</si>
  <si>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</si>
  <si>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</si>
  <si>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</si>
  <si>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</si>
  <si>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</si>
  <si>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</si>
  <si>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</si>
  <si>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</si>
  <si>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</si>
  <si>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</si>
  <si>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</si>
  <si>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</si>
  <si>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</si>
  <si>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</si>
  <si>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</si>
  <si>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</si>
  <si>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</si>
  <si>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</si>
  <si>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</si>
  <si>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</si>
  <si>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</si>
  <si>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</si>
  <si>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</si>
  <si>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</si>
  <si>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</si>
  <si>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</si>
  <si>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</si>
  <si>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</si>
  <si>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</si>
  <si>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</si>
  <si>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</si>
  <si>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</si>
  <si>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</si>
  <si>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</si>
  <si>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</si>
  <si>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</si>
  <si>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</si>
  <si>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</si>
  <si>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</si>
  <si>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</si>
  <si>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</si>
  <si>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</si>
  <si>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</si>
  <si>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</si>
  <si>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</si>
  <si>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</si>
  <si>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</si>
  <si>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</si>
  <si>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</si>
  <si>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</si>
  <si>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</si>
  <si>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</si>
  <si>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</si>
  <si>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</si>
  <si>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</si>
  <si>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</si>
  <si>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</si>
  <si>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</si>
  <si>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</si>
  <si>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</si>
  <si>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</si>
  <si>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</si>
  <si>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</si>
  <si>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</si>
  <si>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</si>
  <si>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</si>
  <si>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</si>
  <si>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</si>
  <si>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</si>
  <si>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</si>
  <si>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</si>
  <si>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</si>
  <si>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</si>
  <si>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</si>
  <si>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</si>
  <si>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</si>
  <si>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</si>
  <si>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</si>
  <si>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</si>
  <si>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</si>
  <si>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</si>
  <si>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</si>
  <si>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</si>
  <si>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</si>
  <si>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</si>
  <si>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</si>
  <si>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</si>
  <si>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</si>
  <si>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</si>
  <si>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</si>
  <si>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</si>
  <si>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</si>
  <si>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</si>
  <si>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</si>
  <si>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</si>
  <si>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</si>
  <si>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</si>
  <si>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</si>
  <si>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</si>
  <si>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</si>
  <si>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</si>
  <si>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</si>
  <si>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</si>
  <si>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</si>
  <si>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</si>
  <si>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</si>
  <si>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</si>
  <si>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</si>
  <si>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</si>
  <si>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</si>
  <si>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</si>
  <si>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</si>
  <si>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</si>
  <si>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</si>
  <si>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</si>
  <si>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</si>
  <si>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</si>
  <si>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</si>
  <si>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</si>
  <si>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</si>
  <si>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</si>
  <si>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</si>
  <si>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</si>
  <si>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</si>
  <si>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</si>
  <si>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</si>
  <si>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</si>
  <si>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</si>
  <si>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</si>
  <si>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</si>
  <si>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</si>
  <si>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</si>
  <si>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</si>
  <si>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</si>
  <si>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</si>
  <si>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</si>
  <si>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</si>
  <si>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</si>
  <si>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</si>
  <si>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</si>
  <si>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</si>
  <si>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</si>
  <si>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</si>
  <si>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</si>
  <si>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</si>
  <si>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</si>
  <si>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</si>
  <si>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</si>
  <si>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</si>
  <si>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</si>
  <si>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</si>
  <si>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</si>
  <si>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</si>
  <si>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</si>
  <si>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</si>
  <si>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</si>
  <si>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</si>
  <si>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</si>
  <si>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</si>
  <si>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</si>
  <si>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</si>
  <si>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</si>
  <si>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</si>
  <si>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</si>
  <si>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</si>
  <si>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</si>
  <si>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</si>
  <si>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</si>
  <si>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</si>
  <si>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</si>
  <si>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</si>
  <si>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</si>
  <si>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</si>
  <si>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</si>
  <si>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</si>
  <si>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</si>
  <si>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</si>
  <si>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</si>
  <si>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</si>
  <si>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</si>
  <si>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</si>
  <si>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</si>
  <si>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</si>
  <si>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</si>
  <si>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</si>
  <si>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</si>
  <si>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</si>
  <si>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</si>
  <si>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</si>
  <si>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</si>
  <si>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</si>
  <si>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</si>
  <si>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</si>
  <si>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</si>
  <si>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</si>
  <si>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</si>
  <si>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</si>
  <si>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</si>
  <si>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</si>
  <si>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</si>
  <si>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</si>
  <si>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</si>
  <si>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</si>
  <si>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</si>
  <si>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</si>
  <si>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</si>
  <si>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</si>
  <si>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</si>
  <si>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</si>
  <si>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</si>
  <si>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</si>
  <si>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</si>
  <si>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</si>
  <si>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</si>
  <si>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</si>
  <si>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</si>
  <si>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</si>
  <si>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</si>
  <si>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</si>
  <si>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</si>
  <si>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</si>
  <si>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</si>
  <si>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</si>
  <si>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</si>
  <si>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</si>
  <si>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</si>
  <si>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</si>
  <si>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</si>
  <si>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</si>
  <si>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</si>
  <si>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</si>
  <si>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</si>
  <si>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</si>
  <si>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</si>
  <si>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</si>
  <si>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</si>
  <si>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</si>
  <si>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</si>
  <si>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</si>
  <si>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</si>
  <si>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</si>
  <si>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</si>
  <si>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</si>
  <si>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</si>
  <si>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</si>
  <si>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</si>
  <si>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</si>
  <si>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</si>
  <si>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</si>
  <si>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</si>
  <si>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</si>
  <si>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</si>
  <si>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</si>
  <si>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</si>
  <si>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</si>
  <si>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</si>
  <si>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</si>
  <si>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</si>
  <si>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</si>
  <si>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</si>
  <si>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</si>
  <si>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</si>
  <si>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</si>
  <si>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</si>
  <si>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</si>
  <si>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</si>
  <si>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</si>
  <si>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</si>
  <si>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</si>
  <si>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</si>
  <si>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</si>
  <si>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</si>
  <si>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</si>
  <si>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</si>
  <si>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</si>
  <si>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</si>
  <si>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</si>
  <si>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</si>
  <si>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</si>
  <si>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</si>
  <si>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</si>
  <si>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</si>
  <si>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</si>
  <si>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</si>
  <si>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</si>
  <si>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</si>
  <si>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</si>
  <si>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</si>
  <si>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</si>
  <si>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</si>
  <si>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</si>
  <si>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</si>
  <si>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</si>
  <si>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</si>
  <si>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</si>
  <si>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</si>
  <si>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</si>
  <si>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</si>
  <si>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</si>
  <si>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</si>
  <si>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</si>
  <si>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</si>
  <si>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</si>
  <si>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</si>
  <si>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</si>
  <si>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</si>
  <si>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</si>
  <si>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</si>
  <si>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</si>
  <si>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</si>
  <si>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</si>
  <si>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</si>
  <si>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</si>
  <si>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</si>
  <si>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</si>
  <si>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</si>
  <si>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</si>
  <si>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</si>
  <si>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</si>
  <si>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</si>
  <si>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</si>
  <si>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</si>
  <si>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</si>
  <si>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</si>
  <si>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</si>
  <si>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</si>
  <si>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</si>
  <si>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</si>
  <si>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</si>
  <si>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</si>
  <si>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</si>
  <si>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</si>
  <si>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</si>
  <si>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</si>
  <si>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</si>
  <si>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</si>
  <si>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</si>
  <si>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</si>
  <si>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</si>
  <si>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</si>
  <si>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</si>
  <si>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</si>
  <si>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</si>
  <si>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</si>
  <si>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</si>
  <si>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</si>
  <si>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</si>
  <si>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</si>
  <si>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</si>
  <si>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</si>
  <si>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</si>
  <si>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</si>
  <si>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</si>
  <si>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</si>
  <si>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</si>
  <si>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</si>
  <si>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</si>
  <si>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</si>
  <si>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</si>
  <si>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</si>
  <si>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</si>
  <si>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</si>
  <si>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</si>
  <si>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</si>
  <si>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</si>
  <si>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</si>
  <si>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</si>
  <si>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</si>
  <si>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</si>
  <si>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</si>
  <si>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</si>
  <si>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</si>
  <si>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</si>
  <si>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</si>
  <si>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</si>
  <si>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</si>
  <si>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</si>
  <si>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</si>
  <si>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</si>
  <si>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</si>
  <si>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</si>
  <si>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</si>
  <si>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</si>
  <si>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</si>
  <si>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</si>
  <si>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</si>
  <si>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</si>
  <si>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</si>
  <si>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</si>
  <si>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</si>
  <si>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</si>
  <si>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</si>
  <si>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</si>
  <si>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</si>
  <si>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</si>
  <si>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</si>
  <si>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</si>
  <si>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</si>
  <si>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</si>
  <si>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</si>
  <si>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</si>
  <si>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</si>
  <si>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</si>
  <si>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</si>
  <si>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</si>
  <si>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</si>
  <si>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</si>
  <si>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</si>
  <si>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</si>
  <si>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</si>
  <si>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</si>
  <si>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</si>
  <si>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</si>
  <si>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</si>
  <si>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</si>
  <si>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</si>
  <si>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</si>
  <si>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</si>
  <si>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</si>
  <si>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</si>
  <si>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</si>
  <si>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</si>
  <si>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</si>
  <si>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</si>
  <si>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</si>
  <si>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</si>
  <si>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</si>
  <si>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</si>
  <si>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</si>
  <si>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</si>
  <si>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</si>
  <si>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</si>
  <si>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</si>
  <si>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</si>
  <si>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</si>
  <si>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</si>
  <si>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</si>
  <si>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</si>
  <si>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</si>
  <si>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</si>
  <si>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</si>
  <si>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</si>
  <si>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</si>
  <si>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</si>
  <si>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</si>
  <si>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</si>
  <si>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</si>
  <si>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</si>
  <si>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</si>
  <si>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</si>
  <si>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</si>
  <si>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</si>
  <si>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</si>
  <si>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</si>
  <si>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</si>
  <si>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</si>
  <si>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</si>
  <si>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</si>
  <si>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</si>
  <si>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</si>
  <si>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</si>
  <si>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</si>
  <si>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</si>
  <si>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</si>
  <si>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</si>
  <si>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</si>
  <si>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</si>
  <si>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</si>
  <si>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</si>
  <si>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</si>
  <si>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</si>
  <si>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</si>
  <si>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</si>
  <si>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</si>
  <si>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</si>
  <si>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</si>
  <si>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</si>
  <si>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</si>
  <si>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</si>
  <si>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</si>
  <si>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</si>
  <si>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</si>
  <si>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</si>
  <si>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</si>
  <si>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</si>
  <si>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</si>
  <si>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</si>
  <si>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</si>
  <si>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</si>
  <si>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</si>
  <si>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</si>
  <si>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</si>
  <si>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</si>
  <si>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</si>
  <si>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</si>
  <si>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</si>
  <si>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</si>
  <si>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</si>
  <si>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</si>
  <si>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</si>
  <si>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</si>
  <si>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</si>
  <si>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</si>
  <si>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</si>
  <si>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</si>
  <si>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</si>
  <si>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</si>
  <si>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</si>
  <si>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</si>
  <si>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</si>
  <si>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</si>
  <si>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</si>
  <si>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</si>
  <si>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</si>
  <si>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</si>
  <si>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</si>
  <si>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</si>
  <si>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</si>
  <si>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</si>
  <si>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</si>
  <si>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</si>
  <si>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</si>
  <si>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</si>
  <si>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</si>
  <si>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</si>
  <si>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</si>
  <si>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</si>
  <si>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</si>
  <si>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</si>
  <si>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</si>
  <si>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</si>
  <si>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</si>
  <si>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</si>
  <si>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</si>
  <si>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</si>
  <si>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</si>
  <si>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</si>
  <si>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</si>
  <si>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</si>
  <si>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</si>
  <si>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</si>
  <si>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</si>
  <si>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</si>
  <si>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</si>
  <si>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</si>
  <si>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</si>
  <si>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</si>
  <si>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</si>
  <si>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</si>
  <si>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</si>
  <si>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</si>
  <si>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</si>
  <si>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</si>
  <si>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</si>
  <si>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</si>
  <si>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</si>
  <si>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</si>
  <si>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</si>
  <si>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</si>
  <si>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</si>
  <si>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</si>
  <si>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</si>
  <si>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</si>
  <si>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</si>
  <si>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</si>
  <si>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</si>
  <si>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</si>
  <si>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</si>
  <si>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</si>
  <si>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</si>
  <si>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</si>
  <si>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</si>
  <si>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</si>
  <si>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</si>
  <si>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</si>
  <si>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</si>
  <si>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</si>
  <si>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</si>
  <si>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</si>
  <si>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</si>
  <si>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</si>
  <si>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</si>
  <si>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</si>
  <si>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</si>
  <si>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</si>
  <si>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</si>
  <si>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</si>
  <si>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</si>
  <si>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</si>
  <si>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</si>
  <si>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</si>
  <si>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</si>
  <si>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</si>
  <si>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</si>
  <si>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</si>
  <si>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</si>
  <si>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</si>
  <si>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</si>
  <si>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</si>
  <si>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</si>
  <si>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</si>
  <si>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</si>
  <si>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</si>
  <si>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</si>
  <si>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</si>
  <si>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</si>
  <si>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</si>
  <si>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</si>
  <si>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</si>
  <si>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</si>
  <si>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</si>
  <si>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</si>
  <si>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</si>
  <si>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</si>
  <si>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</si>
  <si>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</si>
  <si>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</si>
  <si>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</si>
  <si>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</si>
  <si>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</si>
  <si>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</si>
  <si>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</si>
  <si>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</si>
  <si>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</si>
  <si>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</si>
  <si>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</si>
  <si>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</si>
  <si>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</si>
  <si>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</si>
  <si>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</si>
  <si>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</si>
  <si>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</si>
  <si>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</si>
  <si>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</si>
  <si>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</si>
  <si>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</si>
  <si>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</si>
  <si>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</si>
  <si>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</si>
  <si>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</si>
  <si>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</si>
  <si>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</si>
  <si>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</si>
  <si>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</si>
  <si>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</si>
  <si>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</si>
  <si>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</si>
  <si>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</si>
  <si>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</si>
  <si>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</si>
  <si>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</si>
  <si>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</si>
  <si>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</si>
  <si>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</si>
  <si>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</si>
  <si>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</si>
  <si>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</si>
  <si>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</si>
  <si>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</si>
  <si>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</si>
  <si>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</si>
  <si>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</si>
  <si>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</si>
  <si>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</si>
  <si>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</si>
  <si>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</si>
  <si>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</si>
  <si>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</si>
  <si>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</si>
  <si>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</si>
  <si>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</si>
  <si>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</si>
  <si>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</si>
  <si>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</si>
  <si>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</si>
  <si>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</si>
  <si>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</si>
  <si>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</si>
  <si>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</si>
  <si>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</si>
  <si>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</si>
  <si>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</si>
  <si>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</si>
  <si>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</si>
  <si>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</si>
  <si>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</si>
  <si>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</si>
  <si>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</si>
  <si>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</si>
  <si>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</si>
  <si>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</si>
  <si>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</si>
  <si>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</si>
  <si>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</si>
  <si>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</si>
  <si>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</si>
  <si>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</si>
  <si>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</si>
  <si>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</si>
  <si>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</si>
  <si>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</si>
  <si>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</si>
  <si>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</si>
  <si>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</si>
  <si>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</si>
  <si>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</si>
  <si>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</si>
  <si>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</si>
  <si>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</si>
  <si>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</si>
  <si>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</si>
  <si>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</si>
  <si>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</si>
  <si>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</si>
  <si>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</si>
  <si>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</si>
  <si>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</si>
  <si>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</si>
  <si>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</si>
  <si>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</si>
  <si>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</si>
  <si>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</si>
  <si>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</si>
  <si>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</si>
  <si>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</si>
  <si>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</si>
  <si>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</si>
  <si>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</si>
  <si>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</si>
  <si>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</si>
  <si>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</si>
  <si>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</si>
  <si>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</si>
  <si>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</si>
  <si>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</si>
  <si>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</si>
  <si>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</si>
  <si>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</si>
  <si>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</si>
  <si>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</si>
  <si>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</si>
  <si>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</si>
  <si>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</si>
  <si>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</si>
  <si>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</si>
  <si>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</si>
  <si>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</si>
  <si>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</si>
  <si>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</si>
  <si>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</si>
  <si>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</si>
  <si>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</si>
  <si>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</si>
  <si>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</si>
  <si>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</si>
  <si>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</si>
  <si>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</si>
  <si>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</si>
  <si>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</si>
  <si>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</si>
  <si>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</si>
  <si>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</si>
  <si>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</si>
  <si>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</si>
  <si>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</si>
  <si>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</si>
  <si>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</si>
  <si>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</si>
  <si>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</si>
  <si>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</si>
  <si>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</si>
  <si>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</si>
  <si>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</si>
  <si>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</si>
  <si>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</si>
  <si>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</si>
  <si>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</si>
  <si>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</si>
  <si>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</si>
  <si>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</si>
  <si>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</si>
  <si>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</si>
  <si>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</si>
  <si>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</si>
  <si>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</si>
  <si>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</si>
  <si>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</si>
  <si>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</si>
  <si>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</si>
  <si>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</si>
  <si>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</si>
  <si>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</si>
  <si>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</si>
  <si>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</si>
  <si>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</si>
  <si>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</si>
  <si>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</si>
  <si>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</si>
  <si>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</si>
  <si>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</si>
  <si>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</si>
  <si>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</si>
  <si>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</si>
  <si>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</si>
  <si>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</si>
  <si>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</si>
  <si>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</si>
  <si>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</si>
  <si>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</si>
  <si>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</si>
  <si>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</si>
  <si>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</si>
  <si>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</si>
  <si>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</si>
  <si>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</si>
  <si>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</si>
  <si>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</si>
  <si>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</si>
  <si>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</si>
  <si>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</si>
  <si>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</si>
  <si>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</si>
  <si>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</si>
  <si>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</si>
  <si>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</si>
  <si>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</si>
  <si>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</si>
  <si>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</si>
  <si>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</si>
  <si>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</si>
  <si>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</si>
  <si>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</si>
  <si>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</si>
  <si>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</si>
  <si>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</si>
  <si>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</si>
  <si>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</si>
  <si>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</si>
  <si>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</si>
  <si>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</si>
  <si>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</si>
  <si>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</si>
  <si>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</si>
  <si>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</si>
  <si>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</si>
  <si>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</si>
  <si>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</si>
  <si>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</si>
  <si>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</si>
  <si>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</si>
  <si>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</si>
  <si>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</si>
  <si>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</si>
  <si>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</si>
  <si>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</si>
  <si>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</si>
  <si>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</si>
  <si>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</si>
  <si>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</si>
  <si>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</si>
  <si>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</si>
  <si>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</si>
  <si>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</si>
  <si>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</si>
  <si>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</si>
  <si>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</si>
  <si>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</si>
  <si>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</si>
  <si>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</si>
  <si>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</si>
  <si>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</si>
  <si>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</si>
  <si>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</si>
  <si>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</si>
  <si>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</si>
  <si>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</si>
  <si>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</si>
  <si>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</si>
  <si>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</si>
  <si>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</si>
  <si>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</si>
  <si>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</si>
  <si>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</si>
  <si>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</si>
  <si>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</si>
  <si>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</si>
  <si>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</si>
  <si>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</si>
  <si>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</si>
  <si>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</si>
  <si>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</si>
  <si>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</si>
  <si>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</si>
  <si>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</si>
  <si>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</si>
  <si>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</si>
  <si>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</si>
  <si>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</si>
  <si>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</si>
  <si>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</si>
  <si>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</si>
  <si>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</si>
  <si>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</si>
  <si>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</si>
  <si>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</si>
  <si>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</si>
  <si>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</si>
  <si>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</si>
  <si>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</si>
  <si>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</si>
  <si>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</si>
  <si>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</si>
  <si>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</si>
  <si>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</si>
  <si>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</si>
  <si>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</si>
  <si>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</si>
  <si>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</si>
  <si>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</si>
  <si>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</si>
  <si>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</si>
  <si>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</si>
  <si>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</si>
  <si>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</si>
  <si>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</si>
  <si>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</si>
  <si>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</si>
  <si>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</si>
  <si>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</si>
  <si>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</si>
  <si>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</si>
  <si>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</si>
  <si>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</si>
  <si>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</si>
  <si>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</si>
  <si>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</si>
  <si>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</si>
  <si>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</si>
  <si>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</si>
  <si>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</si>
  <si>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</si>
  <si>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</si>
  <si>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</si>
  <si>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</si>
  <si>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</si>
  <si>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</si>
  <si>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</si>
  <si>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</si>
  <si>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</si>
  <si>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</si>
  <si>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</si>
  <si>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</si>
  <si>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</si>
  <si>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</si>
  <si>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</si>
  <si>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</si>
  <si>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</si>
  <si>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</si>
  <si>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</si>
  <si>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</si>
  <si>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</si>
  <si>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</si>
  <si>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</si>
  <si>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</si>
  <si>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</si>
  <si>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</si>
  <si>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</si>
  <si>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</si>
  <si>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</si>
  <si>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</si>
  <si>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</si>
  <si>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</si>
  <si>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</si>
  <si>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</si>
  <si>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</si>
  <si>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</si>
  <si>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</si>
  <si>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</si>
  <si>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</si>
  <si>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</si>
  <si>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</si>
  <si>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</si>
  <si>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</si>
  <si>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</si>
  <si>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</si>
  <si>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</si>
  <si>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</si>
  <si>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</si>
  <si>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</si>
  <si>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</si>
  <si>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</si>
  <si>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</si>
  <si>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</si>
  <si>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</si>
  <si>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</si>
  <si>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</si>
  <si>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</si>
  <si>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</si>
  <si>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</si>
  <si>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</si>
  <si>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</si>
  <si>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</si>
  <si>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</si>
  <si>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</si>
  <si>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</si>
  <si>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</si>
  <si>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</si>
  <si>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</si>
  <si>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</si>
  <si>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</si>
  <si>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</si>
  <si>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</si>
  <si>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</si>
  <si>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</si>
  <si>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</si>
  <si>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</si>
  <si>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</si>
  <si>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</si>
  <si>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</si>
  <si>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</si>
  <si>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</si>
  <si>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</si>
  <si>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</si>
  <si>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</si>
  <si>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</si>
  <si>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</si>
  <si>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</si>
  <si>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</si>
  <si>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</si>
  <si>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</si>
  <si>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</si>
  <si>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</si>
  <si>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</si>
  <si>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</si>
  <si>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</si>
  <si>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</si>
  <si>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</si>
  <si>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</si>
  <si>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</si>
  <si>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</si>
  <si>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</si>
  <si>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</si>
  <si>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</si>
  <si>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</si>
  <si>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</si>
  <si>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</si>
  <si>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</si>
  <si>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</si>
  <si>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</si>
  <si>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</si>
  <si>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</si>
  <si>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</si>
  <si>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</si>
  <si>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</si>
  <si>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</si>
  <si>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</si>
  <si>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</si>
  <si>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</si>
  <si>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</si>
  <si>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</si>
  <si>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</si>
  <si>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</si>
  <si>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</si>
  <si>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</si>
  <si>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</si>
  <si>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</si>
  <si>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</si>
  <si>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</si>
  <si>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</si>
  <si>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</si>
  <si>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</si>
  <si>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</si>
  <si>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</si>
  <si>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</si>
  <si>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</si>
  <si>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</si>
  <si>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</si>
  <si>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</si>
  <si>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</si>
  <si>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</si>
  <si>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</si>
  <si>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</si>
  <si>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</si>
  <si>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</si>
  <si>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</si>
  <si>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</si>
  <si>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</si>
  <si>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</si>
  <si>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</si>
  <si>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</si>
  <si>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</si>
  <si>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</si>
  <si>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</si>
  <si>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</si>
  <si>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</si>
  <si>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</si>
  <si>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</si>
  <si>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</si>
  <si>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</si>
  <si>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</si>
  <si>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</si>
  <si>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</si>
  <si>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</si>
  <si>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</si>
  <si>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</si>
  <si>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</si>
  <si>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</si>
  <si>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</si>
  <si>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</si>
  <si>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</si>
  <si>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</si>
  <si>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</si>
  <si>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</si>
  <si>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</si>
  <si>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</si>
  <si>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</si>
  <si>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</si>
  <si>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</si>
  <si>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</si>
  <si>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</si>
  <si>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</si>
  <si>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</si>
  <si>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</si>
  <si>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</si>
  <si>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</si>
  <si>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</si>
  <si>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</si>
  <si>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</si>
  <si>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</si>
  <si>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</si>
  <si>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</si>
  <si>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</si>
  <si>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</si>
  <si>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</si>
  <si>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</si>
  <si>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</si>
  <si>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</si>
  <si>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</si>
  <si>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</si>
  <si>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</si>
  <si>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</si>
  <si>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</si>
  <si>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</si>
  <si>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</si>
  <si>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</si>
  <si>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</si>
  <si>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</si>
  <si>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</si>
  <si>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</si>
  <si>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</si>
  <si>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</si>
  <si>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</si>
  <si>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</si>
  <si>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</si>
  <si>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</si>
  <si>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</si>
  <si>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</si>
  <si>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</si>
  <si>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</si>
  <si>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</si>
  <si>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</si>
  <si>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</si>
  <si>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</si>
  <si>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</si>
  <si>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</si>
  <si>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</si>
  <si>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</si>
  <si>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</si>
  <si>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</si>
  <si>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</si>
  <si>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</si>
  <si>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</si>
  <si>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</si>
  <si>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</si>
  <si>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</si>
  <si>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</si>
  <si>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</si>
  <si>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</si>
  <si>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</si>
  <si>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</si>
  <si>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</si>
  <si>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</si>
  <si>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</si>
  <si>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</si>
  <si>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</si>
  <si>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</si>
  <si>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</si>
  <si>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</si>
  <si>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</si>
  <si>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</si>
  <si>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</si>
  <si>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</si>
  <si>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</si>
  <si>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</si>
  <si>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</si>
  <si>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</si>
  <si>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</si>
  <si>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</si>
  <si>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</si>
  <si>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</si>
  <si>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</si>
  <si>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</si>
  <si>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</si>
  <si>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</si>
  <si>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</si>
  <si>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</si>
  <si>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</si>
  <si>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</si>
  <si>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</si>
  <si>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</si>
  <si>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</si>
  <si>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</si>
  <si>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</si>
  <si>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</si>
  <si>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</si>
  <si>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</si>
  <si>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</si>
  <si>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</si>
  <si>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</si>
  <si>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</si>
  <si>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</si>
  <si>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</si>
  <si>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</si>
  <si>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</si>
  <si>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</si>
  <si>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</si>
  <si>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</si>
  <si>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</si>
  <si>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</si>
  <si>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</si>
  <si>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</si>
  <si>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</si>
  <si>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</si>
  <si>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</si>
  <si>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</si>
  <si>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</si>
  <si>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</si>
  <si>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</si>
  <si>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</si>
  <si>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</si>
  <si>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</si>
  <si>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</si>
  <si>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</si>
  <si>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</si>
  <si>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</si>
  <si>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</si>
  <si>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</si>
  <si>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</si>
  <si>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</si>
  <si>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</si>
  <si>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</si>
  <si>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</si>
  <si>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</si>
  <si>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</si>
  <si>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</si>
  <si>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</si>
  <si>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</si>
  <si>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</si>
  <si>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</si>
  <si>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</si>
  <si>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</si>
  <si>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</si>
  <si>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</si>
  <si>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</si>
  <si>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</si>
  <si>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</si>
  <si>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</si>
  <si>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</si>
  <si>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</si>
  <si>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</si>
  <si>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</si>
  <si>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</si>
  <si>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</si>
  <si>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</si>
  <si>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</si>
  <si>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</si>
  <si>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</si>
  <si>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</si>
  <si>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</si>
  <si>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</si>
  <si>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</si>
  <si>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</si>
  <si>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</si>
  <si>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</si>
  <si>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</si>
  <si>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</si>
  <si>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</si>
  <si>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</si>
  <si>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</si>
  <si>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</si>
  <si>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</si>
  <si>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</si>
  <si>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</si>
  <si>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</si>
  <si>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</si>
  <si>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</si>
  <si>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</si>
  <si>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</si>
  <si>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</si>
  <si>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</si>
  <si>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</si>
  <si>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</si>
  <si>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</si>
  <si>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</si>
  <si>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</si>
  <si>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</si>
  <si>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</si>
  <si>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</si>
  <si>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</si>
  <si>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</si>
  <si>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</si>
  <si>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</si>
  <si>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</si>
  <si>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</si>
  <si>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</si>
  <si>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</si>
  <si>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</si>
  <si>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</si>
  <si>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</si>
  <si>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</si>
  <si>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</si>
  <si>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</si>
  <si>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</si>
  <si>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</si>
  <si>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</si>
  <si>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</si>
  <si>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</si>
  <si>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</si>
  <si>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</si>
  <si>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</si>
  <si>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</si>
  <si>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</si>
  <si>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</si>
  <si>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</si>
  <si>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</si>
  <si>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</si>
  <si>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</si>
  <si>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</si>
  <si>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</si>
  <si>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</si>
  <si>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</si>
  <si>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</si>
  <si>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</si>
  <si>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</si>
  <si>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</si>
  <si>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</si>
  <si>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</si>
  <si>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</si>
  <si>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</si>
  <si>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</si>
  <si>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</si>
  <si>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</si>
  <si>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</si>
  <si>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</si>
  <si>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</si>
  <si>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</si>
  <si>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</si>
  <si>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</si>
  <si>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</si>
  <si>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</si>
  <si>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</si>
  <si>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</si>
  <si>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</si>
  <si>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</si>
  <si>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</si>
  <si>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</si>
  <si>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</si>
  <si>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</si>
  <si>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</si>
  <si>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</si>
  <si>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</si>
  <si>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</si>
  <si>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</si>
  <si>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</si>
  <si>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</si>
  <si>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</si>
  <si>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</si>
  <si>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</si>
  <si>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</si>
  <si>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</si>
  <si>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</si>
  <si>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</si>
  <si>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</si>
  <si>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</si>
  <si>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</si>
  <si>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</si>
  <si>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</si>
  <si>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</si>
  <si>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</si>
  <si>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</si>
  <si>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</si>
  <si>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</si>
  <si>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</si>
  <si>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</si>
  <si>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</si>
  <si>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</si>
  <si>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</si>
  <si>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</si>
  <si>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</si>
  <si>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</si>
  <si>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</si>
  <si>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</si>
  <si>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</si>
  <si>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</si>
  <si>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</si>
  <si>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</si>
  <si>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</si>
  <si>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</si>
  <si>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</si>
  <si>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</si>
  <si>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</si>
  <si>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</si>
  <si>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</si>
  <si>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</si>
  <si>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</si>
  <si>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</si>
  <si>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</si>
  <si>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</si>
  <si>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</si>
  <si>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</si>
  <si>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</si>
  <si>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</si>
  <si>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</si>
  <si>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</si>
  <si>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</si>
  <si>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</si>
  <si>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</si>
  <si>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</si>
  <si>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</si>
  <si>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</si>
  <si>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</si>
  <si>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</si>
  <si>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</si>
  <si>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</si>
  <si>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</si>
  <si>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</si>
  <si>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</si>
  <si>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</si>
  <si>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</si>
  <si>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</si>
  <si>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</si>
  <si>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</si>
  <si>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</si>
  <si>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</si>
  <si>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</si>
  <si>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</si>
  <si>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</si>
  <si>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</si>
  <si>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</si>
  <si>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</si>
  <si>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</si>
  <si>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</si>
  <si>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</si>
  <si>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</si>
  <si>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</si>
  <si>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</si>
  <si>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</si>
  <si>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</si>
  <si>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</si>
  <si>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</si>
  <si>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</si>
  <si>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</si>
  <si>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</si>
  <si>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</si>
  <si>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</si>
  <si>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</si>
  <si>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</si>
  <si>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</si>
  <si>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</si>
  <si>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</si>
  <si>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</si>
  <si>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</si>
  <si>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</si>
  <si>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</si>
  <si>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</si>
  <si>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</si>
  <si>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</si>
  <si>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</si>
  <si>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</si>
  <si>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</si>
  <si>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</si>
  <si>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</si>
  <si>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</si>
  <si>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</si>
  <si>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</si>
  <si>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</si>
  <si>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</si>
  <si>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</si>
  <si>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</si>
  <si>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</si>
  <si>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</si>
  <si>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</si>
  <si>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</si>
  <si>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</si>
  <si>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</si>
  <si>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</si>
  <si>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</si>
  <si>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</si>
  <si>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</si>
  <si>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</si>
  <si>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</si>
  <si>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</si>
  <si>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</si>
  <si>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</si>
  <si>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</si>
  <si>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</si>
  <si>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</si>
  <si>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</si>
  <si>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</si>
  <si>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</si>
  <si>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</si>
  <si>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</si>
  <si>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</si>
  <si>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</si>
  <si>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</si>
  <si>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</si>
  <si>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</si>
  <si>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</si>
  <si>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</si>
  <si>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</si>
  <si>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</si>
  <si>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</si>
  <si>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</si>
  <si>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</si>
  <si>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</si>
  <si>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</si>
  <si>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</si>
  <si>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</si>
  <si>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</si>
  <si>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</si>
  <si>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</si>
  <si>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</si>
  <si>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</si>
  <si>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</si>
  <si>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</si>
  <si>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</si>
  <si>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</si>
  <si>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</si>
  <si>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</si>
  <si>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</si>
  <si>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</si>
  <si>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</si>
  <si>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</si>
  <si>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</si>
  <si>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</si>
  <si>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</si>
  <si>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</si>
  <si>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</si>
  <si>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</si>
  <si>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</si>
  <si>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</si>
  <si>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</si>
  <si>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</si>
  <si>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</si>
  <si>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</si>
  <si>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</si>
  <si>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</si>
  <si>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</si>
  <si>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</si>
  <si>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</si>
  <si>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</si>
  <si>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</si>
  <si>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</si>
  <si>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</si>
  <si>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</si>
  <si>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</si>
  <si>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</si>
  <si>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</si>
  <si>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</si>
  <si>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</si>
  <si>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</si>
  <si>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</si>
  <si>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</si>
  <si>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</si>
  <si>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</si>
  <si>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</si>
  <si>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</si>
  <si>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</si>
  <si>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</si>
  <si>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</si>
  <si>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</si>
  <si>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</si>
  <si>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</si>
  <si>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</si>
  <si>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</si>
  <si>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</si>
  <si>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</si>
  <si>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</si>
  <si>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</si>
  <si>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</si>
  <si>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</si>
  <si>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</si>
  <si>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</si>
  <si>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</si>
  <si>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</si>
  <si>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</si>
  <si>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</si>
  <si>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</si>
  <si>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</si>
  <si>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</si>
  <si>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</si>
  <si>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</si>
  <si>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</si>
  <si>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</si>
  <si>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</si>
  <si>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</si>
  <si>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</si>
  <si>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</si>
  <si>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</si>
  <si>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</si>
  <si>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</si>
  <si>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</si>
  <si>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</si>
  <si>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</si>
  <si>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</si>
  <si>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</si>
  <si>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</si>
  <si>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</si>
  <si>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</si>
  <si>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</si>
  <si>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</si>
  <si>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</si>
  <si>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</si>
  <si>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</si>
  <si>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</si>
  <si>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</si>
  <si>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</si>
  <si>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</si>
  <si>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</si>
  <si>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</si>
  <si>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</si>
  <si>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</si>
  <si>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</si>
  <si>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</si>
  <si>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</si>
  <si>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</si>
  <si>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</si>
  <si>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</si>
  <si>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</si>
  <si>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</si>
  <si>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</si>
  <si>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</si>
  <si>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</si>
  <si>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</si>
  <si>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</si>
  <si>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</si>
  <si>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</si>
  <si>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</si>
  <si>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</si>
  <si>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</si>
  <si>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</si>
  <si>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</si>
  <si>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</si>
  <si>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</si>
  <si>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</si>
  <si>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</si>
  <si>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</si>
  <si>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</si>
  <si>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</si>
  <si>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</si>
  <si>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</si>
  <si>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</si>
  <si>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</si>
  <si>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</si>
  <si>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</si>
  <si>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</si>
  <si>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</si>
  <si>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</si>
  <si>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</si>
  <si>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</si>
  <si>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</si>
  <si>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</si>
  <si>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</si>
  <si>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</si>
  <si>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</si>
  <si>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</si>
  <si>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</si>
  <si>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</si>
  <si>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</si>
  <si>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</si>
  <si>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</si>
  <si>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</si>
  <si>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</si>
  <si>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</si>
  <si>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</si>
  <si>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</si>
  <si>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</si>
  <si>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</si>
  <si>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</si>
  <si>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</si>
  <si>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</si>
  <si>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</si>
  <si>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</si>
  <si>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</si>
  <si>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</si>
  <si>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</si>
  <si>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</si>
  <si>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</si>
  <si>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</si>
  <si>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</si>
  <si>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</si>
  <si>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</si>
  <si>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</si>
  <si>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</si>
  <si>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</si>
  <si>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</si>
  <si>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</si>
  <si>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</si>
  <si>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</si>
  <si>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</si>
  <si>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</si>
  <si>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</si>
  <si>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</si>
  <si>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</si>
  <si>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</si>
  <si>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</si>
  <si>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</si>
  <si>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</si>
  <si>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</si>
  <si>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</si>
  <si>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</si>
  <si>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</si>
  <si>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</si>
  <si>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</si>
  <si>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</si>
  <si>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</si>
  <si>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</si>
  <si>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</si>
  <si>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</si>
  <si>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</si>
  <si>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</si>
  <si>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</si>
  <si>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</si>
  <si>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</si>
  <si>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</si>
  <si>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</si>
  <si>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</si>
  <si>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</si>
  <si>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</si>
  <si>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</si>
  <si>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</si>
  <si>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</si>
  <si>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</si>
  <si>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</si>
  <si>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</si>
  <si>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</si>
  <si>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</si>
  <si>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</si>
  <si>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</si>
  <si>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</si>
  <si>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</si>
  <si>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</si>
  <si>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</si>
  <si>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</si>
  <si>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</si>
  <si>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</si>
  <si>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</si>
  <si>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</si>
  <si>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</si>
  <si>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</si>
  <si>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</si>
  <si>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</si>
  <si>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</si>
  <si>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</si>
  <si>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</si>
  <si>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</si>
  <si>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</si>
  <si>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</si>
  <si>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</si>
  <si>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</si>
  <si>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</si>
  <si>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</si>
  <si>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</si>
  <si>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</si>
  <si>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</si>
  <si>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</si>
  <si>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</si>
  <si>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</si>
  <si>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</si>
  <si>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</si>
  <si>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</si>
  <si>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</si>
  <si>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</si>
  <si>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</si>
  <si>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</si>
  <si>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</si>
  <si>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</si>
  <si>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</si>
  <si>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</si>
  <si>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</si>
  <si>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</si>
  <si>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</si>
  <si>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</si>
  <si>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</si>
  <si>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</si>
  <si>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</si>
  <si>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</si>
  <si>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</si>
  <si>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</si>
  <si>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</si>
  <si>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</si>
  <si>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</si>
  <si>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</si>
  <si>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</si>
  <si>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</si>
  <si>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</si>
  <si>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</si>
  <si>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</si>
  <si>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</si>
  <si>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</si>
  <si>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</si>
  <si>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</si>
  <si>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</si>
  <si>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</si>
  <si>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</si>
  <si>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</si>
  <si>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</si>
  <si>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</si>
  <si>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</si>
  <si>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</si>
  <si>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</si>
  <si>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</si>
  <si>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</si>
  <si>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</si>
  <si>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</si>
  <si>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</si>
  <si>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</si>
  <si>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</si>
  <si>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</si>
  <si>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</si>
  <si>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</si>
  <si>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</si>
  <si>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</si>
  <si>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</si>
  <si>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</si>
  <si>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</si>
  <si>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</si>
  <si>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</si>
  <si>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</si>
  <si>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</si>
  <si>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</si>
  <si>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</si>
  <si>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</si>
  <si>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</si>
  <si>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</si>
  <si>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</si>
  <si>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</si>
  <si>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</si>
  <si>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</si>
  <si>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</si>
  <si>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</si>
  <si>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</si>
  <si>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</si>
  <si>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</si>
  <si>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</si>
  <si>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</si>
  <si>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</si>
  <si>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</si>
  <si>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</si>
  <si>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</si>
  <si>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</si>
  <si>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</si>
  <si>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</si>
  <si>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</si>
  <si>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</si>
  <si>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</si>
  <si>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</si>
  <si>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</si>
  <si>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</si>
  <si>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</si>
  <si>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</si>
  <si>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</si>
  <si>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</si>
  <si>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</si>
  <si>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</si>
  <si>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</si>
  <si>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</si>
  <si>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</si>
  <si>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</si>
  <si>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</si>
  <si>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</si>
  <si>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</si>
  <si>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</si>
  <si>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</si>
  <si>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</si>
  <si>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</si>
  <si>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</si>
  <si>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</si>
  <si>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</si>
  <si>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</si>
  <si>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</si>
  <si>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</si>
  <si>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</si>
  <si>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</si>
  <si>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</si>
  <si>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</si>
  <si>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</si>
  <si>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</si>
  <si>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</si>
  <si>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</si>
  <si>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</si>
  <si>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</si>
  <si>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</si>
  <si>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</si>
  <si>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</si>
  <si>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</si>
  <si>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</si>
  <si>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</si>
  <si>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</si>
  <si>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</si>
  <si>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</si>
  <si>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</si>
  <si>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</si>
  <si>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</si>
  <si>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</si>
  <si>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</si>
  <si>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</si>
  <si>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</si>
  <si>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</si>
  <si>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</si>
  <si>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</si>
  <si>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</si>
  <si>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</si>
  <si>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</si>
  <si>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</si>
  <si>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</si>
  <si>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</si>
  <si>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</si>
  <si>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</si>
  <si>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</si>
  <si>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</si>
  <si>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</si>
  <si>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</si>
  <si>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</si>
  <si>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</si>
  <si>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</si>
  <si>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</si>
  <si>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</si>
  <si>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</si>
  <si>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</si>
  <si>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</si>
  <si>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</si>
  <si>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</si>
  <si>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</si>
  <si>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</si>
  <si>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</si>
  <si>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</si>
  <si>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</si>
  <si>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</si>
  <si>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</si>
  <si>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</si>
  <si>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</si>
  <si>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</si>
  <si>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</si>
  <si>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</si>
  <si>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</si>
  <si>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</si>
  <si>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</si>
  <si>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</si>
  <si>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</si>
  <si>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</si>
  <si>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</si>
  <si>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</si>
  <si>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</si>
  <si>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</si>
  <si>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</si>
  <si>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</si>
  <si>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</si>
  <si>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</si>
  <si>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</si>
  <si>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</si>
  <si>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</si>
  <si>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</si>
  <si>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</si>
  <si>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</si>
  <si>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</si>
  <si>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</si>
  <si>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</si>
  <si>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</si>
  <si>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</si>
  <si>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</si>
  <si>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</si>
  <si>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</si>
  <si>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</si>
  <si>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</si>
  <si>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</si>
  <si>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</si>
  <si>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</si>
  <si>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</si>
  <si>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</si>
  <si>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</si>
  <si>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</si>
  <si>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</si>
  <si>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</si>
  <si>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</si>
  <si>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</si>
  <si>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</si>
  <si>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</si>
  <si>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</si>
  <si>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</si>
  <si>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</si>
  <si>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</si>
  <si>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</si>
  <si>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</si>
  <si>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</si>
  <si>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</si>
  <si>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</si>
  <si>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</si>
  <si>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</si>
  <si>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</si>
  <si>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</si>
  <si>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</si>
  <si>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</si>
  <si>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</si>
  <si>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</si>
  <si>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</si>
  <si>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</si>
  <si>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</si>
  <si>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</si>
  <si>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</si>
  <si>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</si>
  <si>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</si>
  <si>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</si>
  <si>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</si>
  <si>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</si>
  <si>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</si>
  <si>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</si>
  <si>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</si>
  <si>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</si>
  <si>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</si>
  <si>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</si>
  <si>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</si>
  <si>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</si>
  <si>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</si>
  <si>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</si>
  <si>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</si>
  <si>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</si>
  <si>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</si>
  <si>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</si>
  <si>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</si>
  <si>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</si>
  <si>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</si>
  <si>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</si>
  <si>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</si>
  <si>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</si>
  <si>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</si>
  <si>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</si>
  <si>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</si>
  <si>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</si>
  <si>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</si>
  <si>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</si>
  <si>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</si>
  <si>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</si>
  <si>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</si>
  <si>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</si>
  <si>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</si>
  <si>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</si>
  <si>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</si>
  <si>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</si>
  <si>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</si>
  <si>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</si>
  <si>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</si>
  <si>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</si>
  <si>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</si>
  <si>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</si>
  <si>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</si>
  <si>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</si>
  <si>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</si>
  <si>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</si>
  <si>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</si>
  <si>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</si>
  <si>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</si>
  <si>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</si>
  <si>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</si>
  <si>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</si>
  <si>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</si>
  <si>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</si>
  <si>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</si>
  <si>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</si>
  <si>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</si>
  <si>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</si>
  <si>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</si>
  <si>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</si>
  <si>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</si>
  <si>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</si>
  <si>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</si>
  <si>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</si>
  <si>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</si>
  <si>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</si>
  <si>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</si>
  <si>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</si>
  <si>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</si>
  <si>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</si>
  <si>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</si>
  <si>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</si>
  <si>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</si>
  <si>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</si>
  <si>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</si>
  <si>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</si>
  <si>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</si>
  <si>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</si>
  <si>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</si>
  <si>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</si>
  <si>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</si>
  <si>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</si>
  <si>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</si>
  <si>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</si>
  <si>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</si>
  <si>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</si>
  <si>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</si>
  <si>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</si>
  <si>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</si>
  <si>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</si>
  <si>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</si>
  <si>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</si>
  <si>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</si>
  <si>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</si>
  <si>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</si>
  <si>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</si>
  <si>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</si>
  <si>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</si>
  <si>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</si>
  <si>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</si>
  <si>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</si>
  <si>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</si>
  <si>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</si>
  <si>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</si>
  <si>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</si>
  <si>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</si>
  <si>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</si>
  <si>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</si>
  <si>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</si>
  <si>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</si>
  <si>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</si>
  <si>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</si>
  <si>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</si>
  <si>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</si>
  <si>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</si>
  <si>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</si>
  <si>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</si>
  <si>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</si>
  <si>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</si>
  <si>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</si>
  <si>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</si>
  <si>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</si>
  <si>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</si>
  <si>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</si>
  <si>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</si>
  <si>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</si>
  <si>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</si>
  <si>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</si>
  <si>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</si>
  <si>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</si>
  <si>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</si>
  <si>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</si>
  <si>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</si>
  <si>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</si>
  <si>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</si>
  <si>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</si>
  <si>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</si>
  <si>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</si>
  <si>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</si>
  <si>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</si>
  <si>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</si>
  <si>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</si>
  <si>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</si>
  <si>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</si>
  <si>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</si>
  <si>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</si>
  <si>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</si>
  <si>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</si>
  <si>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</si>
  <si>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</si>
  <si>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</si>
  <si>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</si>
  <si>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</si>
  <si>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</si>
  <si>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</si>
  <si>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</si>
  <si>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</si>
  <si>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</si>
  <si>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</si>
  <si>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</si>
  <si>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</si>
  <si>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</si>
  <si>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</si>
  <si>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</si>
  <si>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</si>
  <si>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</si>
  <si>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</si>
  <si>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</si>
  <si>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</si>
  <si>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</si>
  <si>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</si>
  <si>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</si>
  <si>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</si>
  <si>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</si>
  <si>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</si>
  <si>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</si>
  <si>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</si>
  <si>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</si>
  <si>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</si>
  <si>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</si>
  <si>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</si>
  <si>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</si>
  <si>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</si>
  <si>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</si>
  <si>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</si>
  <si>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</si>
  <si>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</si>
  <si>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</si>
  <si>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</si>
  <si>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</si>
  <si>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</si>
  <si>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</si>
  <si>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</si>
  <si>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</si>
  <si>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</si>
  <si>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</si>
  <si>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</si>
  <si>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</si>
  <si>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</si>
  <si>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</si>
  <si>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</si>
  <si>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</si>
  <si>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</si>
  <si>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</si>
  <si>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</si>
  <si>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</si>
  <si>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</si>
  <si>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</si>
  <si>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</si>
  <si>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</si>
  <si>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</si>
  <si>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</si>
  <si>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</si>
  <si>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</si>
  <si>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</si>
  <si>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</si>
  <si>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</si>
  <si>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</si>
  <si>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</si>
  <si>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</si>
  <si>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</si>
  <si>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</si>
  <si>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</si>
  <si>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</si>
  <si>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</si>
  <si>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</si>
  <si>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</si>
  <si>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</si>
  <si>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</si>
  <si>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</si>
  <si>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</si>
  <si>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</si>
  <si>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</si>
  <si>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</si>
  <si>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</si>
  <si>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</si>
  <si>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</si>
  <si>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</si>
  <si>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</si>
  <si>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</si>
  <si>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</si>
  <si>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</si>
  <si>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</si>
  <si>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</si>
  <si>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</si>
  <si>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</si>
  <si>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</si>
  <si>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</si>
  <si>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</si>
  <si>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</si>
  <si>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</si>
  <si>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</si>
  <si>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</si>
  <si>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</si>
  <si>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</si>
  <si>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</si>
  <si>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</si>
  <si>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</si>
  <si>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</si>
  <si>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</si>
  <si>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</si>
  <si>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</si>
  <si>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</si>
  <si>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</si>
  <si>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</si>
  <si>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</si>
  <si>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</si>
  <si>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</si>
  <si>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</si>
  <si>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</si>
  <si>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</si>
  <si>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</si>
  <si>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</si>
  <si>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</si>
  <si>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</si>
  <si>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</si>
  <si>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</si>
  <si>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</si>
  <si>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</si>
  <si>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</si>
  <si>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</si>
  <si>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</si>
  <si>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</si>
  <si>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</si>
  <si>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</si>
  <si>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</si>
  <si>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</si>
  <si>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</si>
  <si>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</si>
  <si>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</si>
  <si>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</si>
  <si>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</si>
  <si>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</si>
  <si>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</si>
  <si>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</si>
  <si>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</si>
  <si>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</si>
  <si>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</si>
  <si>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</si>
  <si>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</si>
  <si>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</si>
  <si>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</si>
  <si>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</si>
  <si>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</si>
  <si>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</si>
  <si>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</si>
  <si>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</si>
  <si>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</si>
  <si>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</si>
  <si>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</si>
  <si>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</si>
  <si>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</si>
  <si>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</si>
  <si>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</si>
  <si>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</si>
  <si>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</si>
  <si>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</si>
  <si>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</si>
  <si>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</si>
  <si>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</si>
  <si>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</si>
  <si>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</si>
  <si>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</si>
  <si>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</si>
  <si>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</si>
  <si>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</si>
  <si>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</si>
  <si>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</si>
  <si>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</si>
  <si>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</si>
  <si>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</si>
  <si>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</si>
  <si>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</si>
  <si>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</si>
  <si>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</si>
  <si>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</si>
  <si>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</si>
  <si>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</si>
  <si>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</si>
  <si>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</si>
  <si>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</si>
  <si>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</si>
  <si>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</si>
  <si>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</si>
  <si>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</si>
  <si>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</si>
  <si>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</si>
  <si>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</si>
  <si>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</si>
  <si>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</si>
  <si>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</si>
  <si>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</si>
  <si>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</si>
  <si>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</si>
  <si>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</si>
  <si>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</si>
  <si>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</si>
  <si>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</si>
  <si>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</si>
  <si>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</si>
  <si>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</si>
  <si>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</si>
  <si>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</si>
  <si>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</si>
  <si>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</si>
  <si>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</si>
  <si>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</si>
  <si>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</si>
  <si>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</si>
  <si>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</si>
  <si>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</si>
  <si>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</si>
  <si>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</si>
  <si>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</si>
  <si>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</si>
  <si>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</si>
  <si>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</si>
  <si>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</si>
  <si>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</si>
  <si>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</si>
  <si>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</si>
  <si>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</si>
  <si>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</si>
  <si>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</si>
  <si>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</si>
  <si>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</si>
  <si>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</si>
  <si>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</si>
  <si>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</si>
  <si>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</si>
  <si>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</si>
  <si>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</si>
  <si>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</si>
  <si>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</si>
  <si>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</si>
  <si>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</si>
  <si>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</si>
  <si>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</si>
  <si>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</si>
  <si>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</si>
  <si>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</si>
  <si>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</si>
  <si>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</si>
  <si>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</si>
  <si>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</si>
  <si>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</si>
  <si>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</si>
  <si>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</si>
  <si>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</si>
  <si>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</si>
  <si>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</si>
  <si>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</si>
  <si>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</si>
  <si>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</si>
  <si>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</si>
  <si>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</si>
  <si>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</si>
  <si>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</si>
  <si>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</si>
  <si>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</si>
  <si>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</si>
  <si>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</si>
  <si>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</si>
  <si>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</si>
  <si>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</si>
  <si>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</si>
  <si>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</si>
  <si>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</si>
  <si>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</si>
  <si>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</si>
  <si>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</si>
  <si>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</si>
  <si>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</si>
  <si>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</si>
  <si>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</si>
  <si>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</si>
  <si>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</si>
  <si>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</si>
  <si>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</si>
  <si>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</si>
  <si>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</si>
  <si>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</si>
  <si>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</si>
  <si>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</si>
  <si>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</si>
  <si>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</si>
  <si>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</si>
  <si>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</si>
  <si>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</si>
  <si>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</si>
  <si>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</si>
  <si>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</si>
  <si>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</si>
  <si>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</si>
  <si>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</si>
  <si>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</si>
  <si>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</si>
  <si>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</si>
  <si>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</si>
  <si>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</si>
  <si>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</si>
  <si>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</si>
  <si>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</si>
  <si>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</si>
  <si>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</si>
  <si>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</si>
  <si>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</si>
  <si>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</si>
  <si>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</si>
  <si>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</si>
  <si>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</si>
  <si>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</si>
  <si>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</si>
  <si>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</si>
  <si>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</si>
  <si>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</si>
  <si>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</si>
  <si>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</si>
  <si>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</si>
  <si>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</si>
  <si>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</si>
  <si>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</si>
  <si>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</si>
  <si>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</si>
  <si>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</si>
  <si>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</si>
  <si>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</si>
  <si>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</si>
  <si>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</si>
  <si>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</si>
  <si>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</si>
  <si>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</si>
  <si>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</si>
  <si>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</si>
  <si>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</si>
  <si>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</si>
  <si>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</si>
  <si>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</si>
  <si>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</si>
  <si>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</si>
  <si>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</si>
  <si>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</si>
  <si>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</si>
  <si>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</si>
  <si>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</si>
  <si>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</si>
  <si>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</si>
  <si>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</si>
  <si>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</si>
  <si>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</si>
  <si>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</si>
  <si>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</si>
  <si>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</si>
  <si>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</si>
  <si>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</si>
  <si>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</si>
  <si>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</si>
  <si>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</si>
  <si>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</si>
  <si>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</si>
  <si>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</si>
  <si>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</si>
  <si>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</si>
  <si>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</si>
  <si>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</si>
  <si>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</si>
  <si>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</si>
  <si>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</si>
  <si>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</si>
  <si>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</si>
  <si>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</si>
  <si>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</si>
  <si>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</si>
  <si>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</si>
  <si>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</si>
  <si>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</si>
  <si>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</si>
  <si>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</si>
  <si>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</si>
  <si>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</si>
  <si>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</si>
  <si>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</si>
  <si>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</si>
  <si>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</si>
  <si>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</si>
  <si>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</si>
  <si>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</si>
  <si>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</si>
  <si>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</si>
  <si>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</si>
  <si>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</si>
  <si>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</si>
  <si>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</si>
  <si>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</si>
  <si>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</si>
  <si>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</si>
  <si>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</si>
  <si>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</si>
  <si>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</si>
  <si>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</si>
  <si>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</si>
  <si>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</si>
  <si>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</si>
  <si>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</si>
  <si>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</si>
  <si>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</si>
  <si>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</si>
  <si>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</si>
  <si>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</si>
  <si>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</si>
  <si>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</si>
  <si>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</si>
  <si>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</si>
  <si>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</si>
  <si>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</si>
  <si>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</si>
  <si>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</si>
  <si>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</si>
  <si>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</si>
  <si>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</si>
  <si>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</si>
  <si>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</si>
  <si>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</si>
  <si>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</si>
  <si>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</si>
  <si>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</si>
  <si>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</si>
  <si>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</si>
  <si>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</si>
  <si>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</si>
  <si>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</si>
  <si>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</si>
  <si>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</si>
  <si>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</si>
  <si>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</si>
  <si>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</si>
  <si>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</si>
  <si>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</si>
  <si>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</si>
  <si>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</si>
  <si>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</si>
  <si>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</si>
  <si>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</si>
  <si>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</si>
  <si>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</si>
  <si>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</si>
  <si>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</si>
  <si>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</si>
  <si>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</si>
  <si>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</si>
  <si>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</si>
  <si>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</si>
  <si>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</si>
  <si>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</si>
  <si>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</si>
  <si>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</si>
  <si>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</si>
  <si>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</si>
  <si>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</si>
  <si>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</si>
  <si>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</si>
  <si>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</si>
  <si>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</si>
  <si>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</si>
  <si>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</si>
  <si>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</si>
  <si>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</si>
  <si>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</si>
  <si>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</si>
  <si>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</si>
  <si>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</si>
  <si>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</si>
  <si>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</si>
  <si>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</si>
  <si>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</si>
  <si>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</si>
  <si>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</si>
  <si>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</si>
  <si>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</si>
  <si>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</si>
  <si>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</si>
  <si>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</si>
  <si>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</si>
  <si>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</si>
  <si>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</si>
  <si>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</si>
  <si>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</si>
  <si>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</si>
  <si>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</si>
  <si>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</si>
  <si>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</si>
  <si>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</si>
  <si>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</si>
  <si>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</si>
  <si>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</si>
  <si>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</si>
  <si>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</si>
  <si>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</si>
  <si>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</si>
  <si>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</si>
  <si>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</si>
  <si>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</si>
  <si>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</si>
  <si>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</si>
  <si>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</si>
  <si>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</si>
  <si>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</si>
  <si>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</si>
  <si>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</si>
  <si>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</si>
  <si>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</si>
  <si>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</si>
  <si>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</si>
  <si>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</si>
  <si>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</si>
  <si>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</si>
  <si>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</si>
  <si>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</si>
  <si>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</si>
  <si>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</si>
  <si>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</si>
  <si>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</si>
  <si>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</si>
  <si>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</si>
  <si>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</si>
  <si>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</si>
  <si>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</si>
  <si>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</si>
  <si>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</si>
  <si>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</si>
  <si>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</si>
  <si>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</si>
  <si>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</si>
  <si>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</si>
  <si>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</si>
  <si>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</si>
  <si>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</si>
  <si>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</si>
  <si>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</si>
  <si>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</si>
  <si>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</si>
  <si>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</si>
  <si>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</si>
  <si>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</si>
  <si>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</si>
  <si>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</si>
  <si>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</si>
  <si>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</si>
  <si>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</si>
  <si>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</si>
  <si>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</si>
  <si>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</si>
  <si>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</si>
  <si>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</si>
  <si>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</si>
  <si>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</si>
  <si>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</si>
  <si>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</si>
  <si>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</si>
  <si>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</si>
  <si>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</si>
  <si>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</si>
  <si>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</si>
  <si>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</si>
  <si>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</si>
  <si>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</si>
  <si>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</si>
  <si>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</si>
  <si>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</si>
  <si>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</si>
  <si>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</si>
  <si>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</si>
  <si>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</si>
  <si>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</si>
  <si>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</si>
  <si>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</si>
  <si>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</si>
  <si>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</si>
  <si>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</si>
  <si>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</si>
  <si>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</si>
  <si>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</si>
  <si>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</si>
  <si>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</si>
  <si>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</si>
  <si>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</si>
  <si>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</si>
  <si>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</si>
  <si>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</si>
  <si>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</si>
  <si>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</si>
  <si>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</si>
  <si>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</si>
  <si>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</si>
  <si>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</si>
  <si>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</si>
  <si>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</si>
  <si>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</si>
  <si>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</si>
  <si>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</si>
  <si>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</si>
  <si>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</si>
  <si>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</si>
  <si>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</si>
  <si>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</si>
  <si>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</si>
  <si>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</si>
  <si>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</si>
  <si>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</si>
  <si>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</si>
  <si>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</si>
  <si>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</si>
  <si>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</si>
  <si>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</si>
  <si>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</si>
  <si>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</si>
  <si>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</si>
  <si>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</si>
  <si>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</si>
  <si>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</si>
  <si>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</si>
  <si>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</si>
  <si>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</si>
  <si>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</si>
  <si>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</si>
  <si>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</si>
  <si>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</si>
  <si>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</si>
  <si>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</si>
  <si>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</si>
  <si>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</si>
  <si>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</si>
  <si>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</si>
  <si>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</si>
  <si>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</si>
  <si>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</si>
  <si>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</si>
  <si>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</si>
  <si>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</si>
  <si>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</si>
  <si>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</si>
  <si>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</si>
  <si>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</si>
  <si>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</si>
  <si>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</si>
  <si>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</si>
  <si>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</si>
  <si>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</si>
  <si>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</si>
  <si>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</si>
  <si>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</si>
  <si>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</si>
  <si>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</si>
  <si>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</si>
  <si>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</si>
  <si>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</si>
  <si>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</si>
  <si>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</si>
  <si>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</si>
  <si>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</si>
  <si>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</si>
  <si>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</si>
  <si>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</si>
  <si>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</si>
  <si>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</si>
  <si>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</si>
  <si>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</si>
  <si>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</si>
  <si>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</si>
  <si>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</si>
  <si>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</si>
  <si>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</si>
  <si>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</si>
  <si>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</si>
  <si>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</si>
  <si>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</si>
  <si>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</si>
  <si>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</si>
  <si>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</si>
  <si>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</si>
  <si>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</si>
  <si>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</si>
  <si>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</si>
  <si>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</si>
  <si>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</si>
  <si>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</si>
  <si>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</si>
  <si>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</si>
  <si>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</si>
  <si>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</si>
  <si>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</si>
  <si>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</si>
  <si>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</si>
  <si>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</si>
  <si>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</si>
  <si>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</si>
  <si>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</si>
  <si>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</si>
  <si>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</si>
  <si>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</si>
  <si>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</si>
  <si>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</si>
  <si>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</si>
  <si>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</si>
  <si>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</si>
  <si>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</si>
  <si>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</si>
  <si>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</si>
  <si>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</si>
  <si>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</si>
  <si>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</si>
  <si>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</si>
  <si>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</si>
  <si>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</si>
  <si>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</si>
  <si>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</si>
  <si>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</si>
  <si>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</si>
  <si>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</si>
  <si>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</si>
  <si>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</si>
  <si>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</si>
  <si>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</si>
  <si>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</si>
  <si>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</si>
  <si>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</si>
  <si>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</si>
  <si>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</si>
  <si>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</si>
  <si>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</si>
  <si>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</si>
  <si>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</si>
  <si>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</si>
  <si>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</si>
  <si>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</si>
  <si>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</si>
  <si>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</si>
  <si>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</si>
  <si>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</si>
  <si>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</si>
  <si>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</si>
  <si>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</si>
  <si>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</si>
  <si>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</si>
  <si>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</si>
  <si>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</si>
  <si>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</si>
  <si>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</si>
  <si>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</si>
  <si>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</si>
  <si>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</si>
  <si>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</si>
  <si>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</si>
  <si>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</si>
  <si>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</si>
  <si>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</si>
  <si>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</si>
  <si>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</si>
  <si>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</si>
  <si>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</si>
  <si>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</si>
  <si>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</si>
  <si>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</si>
  <si>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</si>
  <si>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</si>
  <si>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</si>
  <si>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</si>
  <si>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</si>
  <si>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</si>
  <si>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</si>
  <si>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</si>
  <si>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</si>
  <si>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</si>
  <si>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</si>
  <si>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</si>
  <si>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</si>
  <si>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</si>
  <si>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</si>
  <si>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</si>
  <si>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</si>
  <si>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</si>
  <si>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</si>
  <si>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</si>
  <si>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</si>
  <si>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</si>
  <si>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</si>
  <si>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</si>
  <si>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</si>
  <si>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</si>
  <si>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</si>
  <si>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</si>
  <si>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</si>
  <si>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</si>
  <si>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</si>
  <si>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</si>
  <si>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</si>
  <si>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</si>
  <si>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</si>
  <si>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</si>
  <si>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</si>
  <si>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</si>
  <si>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</si>
  <si>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</si>
  <si>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</si>
  <si>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</si>
  <si>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</si>
  <si>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</si>
  <si>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</si>
  <si>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</si>
  <si>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</si>
  <si>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</si>
  <si>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</si>
  <si>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</si>
  <si>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</si>
  <si>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</si>
  <si>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</si>
  <si>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</si>
  <si>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</si>
  <si>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</si>
  <si>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</si>
  <si>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</si>
  <si>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</si>
  <si>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</si>
  <si>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</si>
  <si>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</si>
  <si>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</si>
  <si>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</si>
  <si>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</si>
  <si>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</si>
  <si>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</si>
  <si>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</si>
  <si>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</si>
  <si>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</si>
  <si>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</si>
  <si>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</si>
  <si>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</si>
  <si>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</si>
  <si>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</si>
  <si>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</si>
  <si>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</si>
  <si>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</si>
  <si>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ABRACON LLC.</t>
  </si>
  <si>
    <t>79-793-7232</t>
  </si>
  <si>
    <t>DUNS</t>
  </si>
  <si>
    <t>5101 Hidden Creek Ln. Spicewood, Texas 78669</t>
  </si>
  <si>
    <t>Leo Santillan</t>
  </si>
  <si>
    <t>leonel.santillan@abracon.com</t>
  </si>
  <si>
    <t>512-371-6159</t>
  </si>
  <si>
    <t>Reuben Quintanilla</t>
  </si>
  <si>
    <t>Quality &amp; Process Improvement Director</t>
  </si>
  <si>
    <t>reuben.quintanilla@abracon.com</t>
  </si>
  <si>
    <t>100%</t>
  </si>
  <si>
    <t>Our policy is to promote non-use of conflict minerals across the entire supply chain including us.</t>
  </si>
  <si>
    <t>http://www.abracon.com/Support/ABRACON%20Letter%20of%20Non-use%20of%20Conflict%20Minerals.pdf</t>
  </si>
  <si>
    <t>1-6-3/Murotani,Nishi-ku,Kobe,Hyogo/Japan</t>
  </si>
  <si>
    <t>Nobuyuki Yamanaka</t>
  </si>
  <si>
    <t>n-yamanaka@asahipretec.com</t>
  </si>
  <si>
    <t>recycled</t>
  </si>
  <si>
    <t>Eco-System Recycling Co., Ltd.</t>
  </si>
  <si>
    <t>2-12-30 Aoyagi, Soka, Saitama 340-0002 JAPAN</t>
  </si>
  <si>
    <t>Koji Uwatoko</t>
  </si>
  <si>
    <t>k-uwatoko@ifk.co.jp</t>
  </si>
  <si>
    <t>189-1  Matsubara Sayamagahara</t>
  </si>
  <si>
    <t>(+81)4-2934-5357</t>
  </si>
  <si>
    <t>conflict-free@matsuda-sangyo.co.jp</t>
  </si>
  <si>
    <t>1-5-1 Shiomachi</t>
  </si>
  <si>
    <t>(+81)3-5437-8000</t>
  </si>
  <si>
    <t xml:space="preserve">145-1, Funaya-Aza-Shinchi-Otu, </t>
  </si>
  <si>
    <t>(+81)3-3436-7701</t>
  </si>
  <si>
    <t>nagatoro2-14</t>
  </si>
  <si>
    <t>Akihiko Okuda</t>
  </si>
  <si>
    <t>okuda@ml.tanaka.co.jp/kw6</t>
  </si>
  <si>
    <t>2, Shobucho Showanuma</t>
  </si>
  <si>
    <t>(+81)3-3252-0171</t>
  </si>
  <si>
    <t>Heraeus Technology Centre, 30 On Chuen Street, On Lok Tsuen, Fanling, N.T.</t>
  </si>
  <si>
    <t>HLH</t>
  </si>
  <si>
    <t>hlh@heraeus.com</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</si>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</sst>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eonel.santillan@abrac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bracon.com/Support/ABRACON%20Letter%20of%20Non-use%20of%20Conflict%20Minerals.pdf" TargetMode="External"/><Relationship Id="rId4" Type="http://schemas.openxmlformats.org/officeDocument/2006/relationships/hyperlink" Target="mailto:reuben.quintanilla@abrac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21">
      <c r="A36" s="296"/>
      <c r="B36" s="310"/>
      <c r="C36" s="304"/>
      <c r="D36" s="307"/>
      <c r="E36" s="295"/>
      <c r="F36" s="166" t="s">
        <v>66</v>
      </c>
      <c r="G36" s="25"/>
    </row>
    <row r="37" spans="1:7" ht="100">
      <c r="A37" s="296"/>
      <c r="B37" s="141">
        <v>3.01</v>
      </c>
      <c r="C37" s="142" t="s">
        <v>67</v>
      </c>
      <c r="D37" s="28" t="s">
        <v>2234</v>
      </c>
      <c r="E37" s="167" t="s">
        <v>1316</v>
      </c>
      <c r="F37" s="168" t="s">
        <v>1420</v>
      </c>
      <c r="G37" s="25"/>
    </row>
    <row r="38" spans="1:7" ht="9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50">
      <c r="A40" s="296"/>
      <c r="B40" s="141">
        <v>4.01</v>
      </c>
      <c r="C40" s="149" t="s">
        <v>1517</v>
      </c>
      <c r="D40" s="28" t="s">
        <v>2238</v>
      </c>
      <c r="E40" s="27" t="s">
        <v>2194</v>
      </c>
      <c r="F40" s="27" t="s">
        <v>2198</v>
      </c>
      <c r="G40" s="25"/>
    </row>
    <row r="41" spans="1:7" ht="50">
      <c r="A41" s="296"/>
      <c r="B41" s="141" t="s">
        <v>2225</v>
      </c>
      <c r="C41" s="149" t="s">
        <v>1517</v>
      </c>
      <c r="D41" s="28" t="s">
        <v>2237</v>
      </c>
      <c r="E41" s="27" t="s">
        <v>2228</v>
      </c>
      <c r="F41" s="27" t="s">
        <v>2226</v>
      </c>
      <c r="G41" s="25"/>
    </row>
    <row r="42" spans="1:7" ht="5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5">
        <v>44692</v>
      </c>
      <c r="E55" s="169" t="s">
        <v>15485</v>
      </c>
      <c r="F55" s="169" t="s">
        <v>15476</v>
      </c>
      <c r="G55" s="25"/>
    </row>
    <row r="56" spans="1:7" ht="50">
      <c r="A56" s="296"/>
      <c r="B56" s="202">
        <v>6.3</v>
      </c>
      <c r="C56" s="149" t="s">
        <v>13129</v>
      </c>
      <c r="D56" s="275">
        <v>45051</v>
      </c>
      <c r="E56" s="169" t="s">
        <v>15753</v>
      </c>
      <c r="F56" s="169" t="s">
        <v>15534</v>
      </c>
      <c r="G56" s="25"/>
    </row>
    <row r="57" spans="1:7" ht="40">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37A10E0-B22E-4359-847E-721C5DBE34C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8BA7ABA-8E4F-425D-9D74-4707C9DACBA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 sqref="D2:J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15865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15865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15866</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15867</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9401BFF-29BF-4211-85C6-55CB05F72306}"/>
    <hyperlink ref="D20" r:id="rId4" xr:uid="{CBAB36DA-CEA6-421E-B934-F351A2C4FF01}"/>
    <hyperlink ref="G77" r:id="rId5" xr:uid="{3CF7EC63-01C2-4A9A-937A-58D5F5B80EE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J3" sqref="J3"/>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c r="B5" s="182" t="s">
        <v>1119</v>
      </c>
      <c r="C5" s="186" t="s">
        <v>2268</v>
      </c>
      <c r="D5" s="230"/>
      <c r="E5" s="182" t="s">
        <v>1098</v>
      </c>
      <c r="F5" s="182" t="s">
        <v>651</v>
      </c>
      <c r="G5" s="182" t="s">
        <v>13217</v>
      </c>
      <c r="H5" s="183" t="s">
        <v>15868</v>
      </c>
      <c r="I5" s="184" t="s">
        <v>1543</v>
      </c>
      <c r="J5" s="184" t="s">
        <v>1544</v>
      </c>
      <c r="K5" s="224" t="s">
        <v>15869</v>
      </c>
      <c r="L5" s="224" t="s">
        <v>15870</v>
      </c>
      <c r="M5" s="224"/>
      <c r="N5" s="224" t="s">
        <v>15871</v>
      </c>
      <c r="O5" s="224" t="s">
        <v>15871</v>
      </c>
      <c r="P5" s="185" t="s">
        <v>484</v>
      </c>
      <c r="Q5" s="225"/>
      <c r="R5" s="182" t="str">
        <f ca="1">IF(ISERROR($V5),"",OFFSET('Smelter Look-up'!$C$4,$V5-4,0)&amp;"")</f>
        <v>Asahi Pretec Corp.</v>
      </c>
      <c r="S5" s="181" t="str">
        <f ca="1">IF(B5="","",IF(ISERROR(MATCH($E5,CL,0)),"Unknown",INDIRECT("'C'!$A$"&amp;MATCH($E5,CL,0)+1)))</f>
        <v>JP</v>
      </c>
      <c r="T5" s="181" t="str">
        <f ca="1">IF(B5="","",IF(ISERROR(MATCH($J5,SorP!$B$1:$B$6226,0)),"",INDIRECT("'SorP'!$A$"&amp;MATCH($S5&amp;$J5,SorP!C:C,0))))</f>
        <v>JP-28</v>
      </c>
      <c r="U5" s="201"/>
      <c r="V5" s="226">
        <f>IF(C5="",NA(),IF(OR(C5="Smelter not listed",C5="Smelter not yet identified"),MATCH($B5&amp;$D5,'Smelter Look-up'!$J:$J,0),MATCH($B5&amp;$C5,'Smelter Look-up'!$J:$J,0)))</f>
        <v>29</v>
      </c>
      <c r="X5" s="227">
        <f>IF(AND(C5="Smelter not listed",OR(LEN(D5)=0,LEN(E5)=0)),1,0)</f>
        <v>0</v>
      </c>
      <c r="AB5" s="228" t="str">
        <f>B5&amp;C5</f>
        <v>GoldAsahi Pretec Corp.</v>
      </c>
    </row>
    <row r="6" spans="1:34" s="227" customFormat="1" ht="20" customHeight="1">
      <c r="A6" s="262"/>
      <c r="B6" s="182" t="s">
        <v>1119</v>
      </c>
      <c r="C6" s="186" t="s">
        <v>15872</v>
      </c>
      <c r="D6" s="230"/>
      <c r="E6" s="182" t="s">
        <v>1098</v>
      </c>
      <c r="F6" s="182" t="s">
        <v>393</v>
      </c>
      <c r="G6" s="182" t="s">
        <v>13217</v>
      </c>
      <c r="H6" s="183">
        <v>0</v>
      </c>
      <c r="I6" s="184" t="s">
        <v>1572</v>
      </c>
      <c r="J6" s="184" t="s">
        <v>1573</v>
      </c>
      <c r="K6" s="224"/>
      <c r="L6" s="224"/>
      <c r="M6" s="224"/>
      <c r="N6" s="224"/>
      <c r="O6" s="224"/>
      <c r="P6" s="185"/>
      <c r="Q6" s="225"/>
      <c r="R6" s="182" t="str">
        <f ca="1">IF(ISERROR($V6),"",OFFSET('Smelter Look-up'!$C$4,$V6-4,0)&amp;"")</f>
        <v/>
      </c>
      <c r="S6" s="181" t="str">
        <f t="shared" ref="S6:S37" ca="1" si="0">IF(B6="","",IF(ISERROR(MATCH($E6,CL,0)),"Unknown",INDIRECT("'C'!$A$"&amp;MATCH($E6,CL,0)+1)))</f>
        <v>JP</v>
      </c>
      <c r="T6" s="181" t="str">
        <f ca="1">IF(B6="","",IF(ISERROR(MATCH($J6,SorP!$B$1:$B$6226,0)),"",INDIRECT("'SorP'!$A$"&amp;MATCH($S6&amp;$J6,SorP!C:C,0))))</f>
        <v>JP-11</v>
      </c>
      <c r="U6" s="201"/>
      <c r="V6" s="226" t="e">
        <f>IF(C6="",NA(),IF(OR(C6="Smelter not listed",C6="Smelter not yet identified"),MATCH($B6&amp;$D6,'Smelter Look-up'!$J:$J,0),MATCH($B6&amp;$C6,'Smelter Look-up'!$J:$J,0)))</f>
        <v>#N/A</v>
      </c>
      <c r="X6" s="227">
        <f t="shared" ref="X6:X37" si="1">IF(AND(C6="Smelter not listed",OR(LEN(D6)=0,LEN(E6)=0)),1,0)</f>
        <v>0</v>
      </c>
      <c r="AB6" s="228" t="str">
        <f t="shared" ref="AB6:AB37" si="2">B6&amp;C6</f>
        <v>GoldEco-System Recycling Co., Ltd.</v>
      </c>
    </row>
    <row r="7" spans="1:34" s="227" customFormat="1" ht="20" customHeight="1">
      <c r="A7" s="262"/>
      <c r="B7" s="182" t="s">
        <v>1119</v>
      </c>
      <c r="C7" s="186" t="s">
        <v>1216</v>
      </c>
      <c r="D7" s="230"/>
      <c r="E7" s="182" t="s">
        <v>1098</v>
      </c>
      <c r="F7" s="182" t="s">
        <v>678</v>
      </c>
      <c r="G7" s="182" t="s">
        <v>13217</v>
      </c>
      <c r="H7" s="183" t="s">
        <v>15873</v>
      </c>
      <c r="I7" s="184" t="s">
        <v>1586</v>
      </c>
      <c r="J7" s="184" t="s">
        <v>1573</v>
      </c>
      <c r="K7" s="224" t="s">
        <v>15874</v>
      </c>
      <c r="L7" s="224" t="s">
        <v>15875</v>
      </c>
      <c r="M7" s="224"/>
      <c r="N7" s="224" t="s">
        <v>15871</v>
      </c>
      <c r="O7" s="224" t="s">
        <v>15871</v>
      </c>
      <c r="P7" s="185" t="s">
        <v>484</v>
      </c>
      <c r="Q7" s="225"/>
      <c r="R7" s="182" t="str">
        <f ca="1">IF(ISERROR($V7),"",OFFSET('Smelter Look-up'!$C$4,$V7-4,0)&amp;"")</f>
        <v>Ishifuku Metal Industry Co., Ltd.</v>
      </c>
      <c r="S7" s="181" t="str">
        <f t="shared" ca="1" si="0"/>
        <v>JP</v>
      </c>
      <c r="T7" s="181" t="str">
        <f ca="1">IF(B7="","",IF(ISERROR(MATCH($J7,SorP!$B$1:$B$6226,0)),"",INDIRECT("'SorP'!$A$"&amp;MATCH($S7&amp;$J7,SorP!C:C,0))))</f>
        <v>JP-11</v>
      </c>
      <c r="U7" s="201"/>
      <c r="V7" s="226">
        <f>IF(C7="",NA(),IF(OR(C7="Smelter not listed",C7="Smelter not yet identified"),MATCH($B7&amp;$D7,'Smelter Look-up'!$J:$J,0),MATCH($B7&amp;$C7,'Smelter Look-up'!$J:$J,0)))</f>
        <v>127</v>
      </c>
      <c r="X7" s="227">
        <f t="shared" si="1"/>
        <v>0</v>
      </c>
      <c r="AB7" s="228" t="str">
        <f t="shared" si="2"/>
        <v>GoldIshifuku Metal Industry Co., Ltd.</v>
      </c>
    </row>
    <row r="8" spans="1:34" s="227" customFormat="1" ht="20" customHeight="1">
      <c r="A8" s="262"/>
      <c r="B8" s="182" t="s">
        <v>1119</v>
      </c>
      <c r="C8" s="186" t="s">
        <v>53</v>
      </c>
      <c r="D8" s="230"/>
      <c r="E8" s="182" t="s">
        <v>1098</v>
      </c>
      <c r="F8" s="182" t="s">
        <v>686</v>
      </c>
      <c r="G8" s="182" t="s">
        <v>13217</v>
      </c>
      <c r="H8" s="183">
        <v>0</v>
      </c>
      <c r="I8" s="184" t="s">
        <v>2345</v>
      </c>
      <c r="J8" s="184" t="s">
        <v>6642</v>
      </c>
      <c r="K8" s="224"/>
      <c r="L8" s="224"/>
      <c r="M8" s="224"/>
      <c r="N8" s="224"/>
      <c r="O8" s="224"/>
      <c r="P8" s="185"/>
      <c r="Q8" s="225"/>
      <c r="R8" s="182" t="str">
        <f ca="1">IF(ISERROR($V8),"",OFFSET('Smelter Look-up'!$C$4,$V8-4,0)&amp;"")</f>
        <v>JX Nippon Mining &amp; Metals Co., Ltd.</v>
      </c>
      <c r="S8" s="181" t="str">
        <f t="shared" ca="1" si="0"/>
        <v>JP</v>
      </c>
      <c r="T8" s="181" t="str">
        <f ca="1">IF(B8="","",IF(ISERROR(MATCH($J8,SorP!$B$1:$B$6226,0)),"",INDIRECT("'SorP'!$A$"&amp;MATCH($S8&amp;$J8,SorP!C:C,0))))</f>
        <v>JP-44</v>
      </c>
      <c r="U8" s="201"/>
      <c r="V8" s="226">
        <f>IF(C8="",NA(),IF(OR(C8="Smelter not listed",C8="Smelter not yet identified"),MATCH($B8&amp;$D8,'Smelter Look-up'!$J:$J,0),MATCH($B8&amp;$C8,'Smelter Look-up'!$J:$J,0)))</f>
        <v>141</v>
      </c>
      <c r="X8" s="227">
        <f t="shared" si="1"/>
        <v>0</v>
      </c>
      <c r="AB8" s="228" t="str">
        <f t="shared" si="2"/>
        <v>GoldJX Nippon Mining &amp; Metals Co., Ltd.</v>
      </c>
    </row>
    <row r="9" spans="1:34" s="227" customFormat="1" ht="20" customHeight="1">
      <c r="A9" s="262"/>
      <c r="B9" s="182" t="s">
        <v>1119</v>
      </c>
      <c r="C9" s="186" t="s">
        <v>54</v>
      </c>
      <c r="D9" s="230"/>
      <c r="E9" s="182" t="s">
        <v>1098</v>
      </c>
      <c r="F9" s="182" t="s">
        <v>698</v>
      </c>
      <c r="G9" s="182" t="s">
        <v>13217</v>
      </c>
      <c r="H9" s="183" t="s">
        <v>15876</v>
      </c>
      <c r="I9" s="184" t="s">
        <v>1610</v>
      </c>
      <c r="J9" s="184" t="s">
        <v>1573</v>
      </c>
      <c r="K9" s="224" t="s">
        <v>15877</v>
      </c>
      <c r="L9" s="224" t="s">
        <v>15878</v>
      </c>
      <c r="M9" s="224"/>
      <c r="N9" s="224" t="s">
        <v>15871</v>
      </c>
      <c r="O9" s="224" t="s">
        <v>15871</v>
      </c>
      <c r="P9" s="185" t="s">
        <v>484</v>
      </c>
      <c r="Q9" s="225"/>
      <c r="R9" s="182" t="str">
        <f ca="1">IF(ISERROR($V9),"",OFFSET('Smelter Look-up'!$C$4,$V9-4,0)&amp;"")</f>
        <v>Matsuda Sangyo Co., Ltd.</v>
      </c>
      <c r="S9" s="181" t="str">
        <f t="shared" ca="1" si="0"/>
        <v>JP</v>
      </c>
      <c r="T9" s="181" t="str">
        <f ca="1">IF(B9="","",IF(ISERROR(MATCH($J9,SorP!$B$1:$B$6226,0)),"",INDIRECT("'SorP'!$A$"&amp;MATCH($S9&amp;$J9,SorP!C:C,0))))</f>
        <v>JP-11</v>
      </c>
      <c r="U9" s="201"/>
      <c r="V9" s="226">
        <f>IF(C9="",NA(),IF(OR(C9="Smelter not listed",C9="Smelter not yet identified"),MATCH($B9&amp;$D9,'Smelter Look-up'!$J:$J,0),MATCH($B9&amp;$C9,'Smelter Look-up'!$J:$J,0)))</f>
        <v>175</v>
      </c>
      <c r="X9" s="227">
        <f t="shared" si="1"/>
        <v>0</v>
      </c>
      <c r="AB9" s="228" t="str">
        <f t="shared" si="2"/>
        <v>GoldMatsuda Sangyo Co., Ltd.</v>
      </c>
    </row>
    <row r="10" spans="1:34" s="227" customFormat="1" ht="20" customHeight="1">
      <c r="A10" s="262"/>
      <c r="B10" s="182" t="s">
        <v>1119</v>
      </c>
      <c r="C10" s="186" t="s">
        <v>1218</v>
      </c>
      <c r="D10" s="230"/>
      <c r="E10" s="182" t="s">
        <v>1098</v>
      </c>
      <c r="F10" s="182" t="s">
        <v>705</v>
      </c>
      <c r="G10" s="182" t="s">
        <v>13217</v>
      </c>
      <c r="H10" s="183" t="s">
        <v>15879</v>
      </c>
      <c r="I10" s="184" t="s">
        <v>1620</v>
      </c>
      <c r="J10" s="184" t="s">
        <v>1619</v>
      </c>
      <c r="K10" s="224" t="s">
        <v>15880</v>
      </c>
      <c r="L10" s="224"/>
      <c r="M10" s="224"/>
      <c r="N10" s="224" t="s">
        <v>15871</v>
      </c>
      <c r="O10" s="224" t="s">
        <v>15871</v>
      </c>
      <c r="P10" s="185" t="s">
        <v>484</v>
      </c>
      <c r="Q10" s="225"/>
      <c r="R10" s="182" t="str">
        <f ca="1">IF(ISERROR($V10),"",OFFSET('Smelter Look-up'!$C$4,$V10-4,0)&amp;"")</f>
        <v>Mitsui Mining and Smelting Co., Ltd.</v>
      </c>
      <c r="S10" s="181" t="str">
        <f t="shared" ca="1" si="0"/>
        <v>JP</v>
      </c>
      <c r="T10" s="181" t="str">
        <f ca="1">IF(B10="","",IF(ISERROR(MATCH($J10,SorP!$B$1:$B$6226,0)),"",INDIRECT("'SorP'!$A$"&amp;MATCH($S10&amp;$J10,SorP!C:C,0))))</f>
        <v>JP-34</v>
      </c>
      <c r="U10" s="201"/>
      <c r="V10" s="226">
        <f>IF(C10="",NA(),IF(OR(C10="Smelter not listed",C10="Smelter not yet identified"),MATCH($B10&amp;$D10,'Smelter Look-up'!$J:$J,0),MATCH($B10&amp;$C10,'Smelter Look-up'!$J:$J,0)))</f>
        <v>194</v>
      </c>
      <c r="X10" s="227">
        <f t="shared" si="1"/>
        <v>0</v>
      </c>
      <c r="AB10" s="228" t="str">
        <f t="shared" si="2"/>
        <v>GoldMitsui Mining and Smelting Co., Ltd.</v>
      </c>
    </row>
    <row r="11" spans="1:34" s="227" customFormat="1" ht="20" customHeight="1">
      <c r="A11" s="262"/>
      <c r="B11" s="182" t="s">
        <v>1119</v>
      </c>
      <c r="C11" s="186" t="s">
        <v>2138</v>
      </c>
      <c r="D11" s="230"/>
      <c r="E11" s="182" t="s">
        <v>1098</v>
      </c>
      <c r="F11" s="182" t="s">
        <v>709</v>
      </c>
      <c r="G11" s="182" t="s">
        <v>13217</v>
      </c>
      <c r="H11" s="183">
        <v>0</v>
      </c>
      <c r="I11" s="184" t="s">
        <v>1625</v>
      </c>
      <c r="J11" s="184" t="s">
        <v>1626</v>
      </c>
      <c r="K11" s="224"/>
      <c r="L11" s="224"/>
      <c r="M11" s="224"/>
      <c r="N11" s="224" t="s">
        <v>15871</v>
      </c>
      <c r="O11" s="224" t="s">
        <v>15871</v>
      </c>
      <c r="P11" s="185" t="s">
        <v>484</v>
      </c>
      <c r="Q11" s="225"/>
      <c r="R11" s="182" t="str">
        <f ca="1">IF(ISERROR($V11),"",OFFSET('Smelter Look-up'!$C$4,$V11-4,0)&amp;"")</f>
        <v>Nihon Material Co., Ltd.</v>
      </c>
      <c r="S11" s="181" t="str">
        <f t="shared" ca="1" si="0"/>
        <v>JP</v>
      </c>
      <c r="T11" s="181" t="str">
        <f ca="1">IF(B11="","",IF(ISERROR(MATCH($J11,SorP!$B$1:$B$6226,0)),"",INDIRECT("'SorP'!$A$"&amp;MATCH($S11&amp;$J11,SorP!C:C,0))))</f>
        <v>JP-12</v>
      </c>
      <c r="U11" s="201"/>
      <c r="V11" s="226">
        <f>IF(C11="",NA(),IF(OR(C11="Smelter not listed",C11="Smelter not yet identified"),MATCH($B11&amp;$D11,'Smelter Look-up'!$J:$J,0),MATCH($B11&amp;$C11,'Smelter Look-up'!$J:$J,0)))</f>
        <v>204</v>
      </c>
      <c r="X11" s="227">
        <f t="shared" si="1"/>
        <v>0</v>
      </c>
      <c r="AB11" s="228" t="str">
        <f t="shared" si="2"/>
        <v>GoldNihon Material Co., Ltd.</v>
      </c>
    </row>
    <row r="12" spans="1:34" s="227" customFormat="1" ht="20" customHeight="1">
      <c r="A12" s="262"/>
      <c r="B12" s="182" t="s">
        <v>1119</v>
      </c>
      <c r="C12" s="186" t="s">
        <v>905</v>
      </c>
      <c r="D12" s="230"/>
      <c r="E12" s="182" t="s">
        <v>2414</v>
      </c>
      <c r="F12" s="182" t="s">
        <v>724</v>
      </c>
      <c r="G12" s="182" t="s">
        <v>13217</v>
      </c>
      <c r="H12" s="183">
        <v>0</v>
      </c>
      <c r="I12" s="184" t="s">
        <v>1653</v>
      </c>
      <c r="J12" s="184" t="s">
        <v>11489</v>
      </c>
      <c r="K12" s="224"/>
      <c r="L12" s="224"/>
      <c r="M12" s="224"/>
      <c r="N12" s="224"/>
      <c r="O12" s="224"/>
      <c r="P12" s="185"/>
      <c r="Q12" s="225"/>
      <c r="R12" s="182" t="str">
        <f ca="1">IF(ISERROR($V12),"",OFFSET('Smelter Look-up'!$C$4,$V12-4,0)&amp;"")</f>
        <v>Solar Applied Materials Technology Corp.</v>
      </c>
      <c r="S12" s="181" t="str">
        <f t="shared" ca="1" si="0"/>
        <v>TW</v>
      </c>
      <c r="T12" s="181" t="str">
        <f ca="1">IF(B12="","",IF(ISERROR(MATCH($J12,SorP!$B$1:$B$6226,0)),"",INDIRECT("'SorP'!$A$"&amp;MATCH($S12&amp;$J12,SorP!C:C,0))))</f>
        <v>TW-TNN</v>
      </c>
      <c r="U12" s="201"/>
      <c r="V12" s="226">
        <f>IF(C12="",NA(),IF(OR(C12="Smelter not listed",C12="Smelter not yet identified"),MATCH($B12&amp;$D12,'Smelter Look-up'!$J:$J,0),MATCH($B12&amp;$C12,'Smelter Look-up'!$J:$J,0)))</f>
        <v>269</v>
      </c>
      <c r="X12" s="227">
        <f t="shared" si="1"/>
        <v>0</v>
      </c>
      <c r="AB12" s="228" t="str">
        <f t="shared" si="2"/>
        <v>GoldSolar Applied Materials Technology Corp.</v>
      </c>
    </row>
    <row r="13" spans="1:34" s="227" customFormat="1" ht="20" customHeight="1">
      <c r="A13" s="262"/>
      <c r="B13" s="182" t="s">
        <v>1119</v>
      </c>
      <c r="C13" s="186" t="s">
        <v>55</v>
      </c>
      <c r="D13" s="230"/>
      <c r="E13" s="182" t="s">
        <v>1098</v>
      </c>
      <c r="F13" s="182" t="s">
        <v>725</v>
      </c>
      <c r="G13" s="182" t="s">
        <v>13217</v>
      </c>
      <c r="H13" s="183" t="s">
        <v>15881</v>
      </c>
      <c r="I13" s="184" t="s">
        <v>1654</v>
      </c>
      <c r="J13" s="184" t="s">
        <v>2196</v>
      </c>
      <c r="K13" s="224" t="s">
        <v>15882</v>
      </c>
      <c r="L13" s="224"/>
      <c r="M13" s="224"/>
      <c r="N13" s="224" t="s">
        <v>15871</v>
      </c>
      <c r="O13" s="224" t="s">
        <v>15871</v>
      </c>
      <c r="P13" s="185" t="s">
        <v>484</v>
      </c>
      <c r="Q13" s="225"/>
      <c r="R13" s="182" t="str">
        <f ca="1">IF(ISERROR($V13),"",OFFSET('Smelter Look-up'!$C$4,$V13-4,0)&amp;"")</f>
        <v>Sumitomo Metal Mining Co., Ltd.</v>
      </c>
      <c r="S13" s="181" t="str">
        <f t="shared" ca="1" si="0"/>
        <v>JP</v>
      </c>
      <c r="T13" s="181" t="str">
        <f ca="1">IF(B13="","",IF(ISERROR(MATCH($J13,SorP!$B$1:$B$6226,0)),"",INDIRECT("'SorP'!$A$"&amp;MATCH($S13&amp;$J13,SorP!C:C,0))))</f>
        <v>JP-38</v>
      </c>
      <c r="U13" s="201"/>
      <c r="V13" s="226">
        <f>IF(C13="",NA(),IF(OR(C13="Smelter not listed",C13="Smelter not yet identified"),MATCH($B13&amp;$D13,'Smelter Look-up'!$J:$J,0),MATCH($B13&amp;$C13,'Smelter Look-up'!$J:$J,0)))</f>
        <v>276</v>
      </c>
      <c r="X13" s="227">
        <f t="shared" si="1"/>
        <v>0</v>
      </c>
      <c r="AB13" s="228" t="str">
        <f t="shared" si="2"/>
        <v>GoldSumitomo Metal Mining Co., Ltd.</v>
      </c>
    </row>
    <row r="14" spans="1:34" s="227" customFormat="1" ht="20" customHeight="1">
      <c r="A14" s="262"/>
      <c r="B14" s="182" t="s">
        <v>1119</v>
      </c>
      <c r="C14" s="186" t="s">
        <v>2309</v>
      </c>
      <c r="D14" s="230"/>
      <c r="E14" s="182" t="s">
        <v>1098</v>
      </c>
      <c r="F14" s="182" t="s">
        <v>726</v>
      </c>
      <c r="G14" s="182" t="s">
        <v>13217</v>
      </c>
      <c r="H14" s="183" t="s">
        <v>15883</v>
      </c>
      <c r="I14" s="184" t="s">
        <v>1655</v>
      </c>
      <c r="J14" s="184" t="s">
        <v>1656</v>
      </c>
      <c r="K14" s="224" t="s">
        <v>15884</v>
      </c>
      <c r="L14" s="224" t="s">
        <v>15885</v>
      </c>
      <c r="M14" s="224"/>
      <c r="N14" s="224" t="s">
        <v>15871</v>
      </c>
      <c r="O14" s="224" t="s">
        <v>15871</v>
      </c>
      <c r="P14" s="185" t="s">
        <v>484</v>
      </c>
      <c r="Q14" s="225"/>
      <c r="R14" s="182" t="str">
        <f ca="1">IF(ISERROR($V14),"",OFFSET('Smelter Look-up'!$C$4,$V14-4,0)&amp;"")</f>
        <v>Tanaka Kikinzoku Kogyo K.K.</v>
      </c>
      <c r="S14" s="181" t="str">
        <f t="shared" ca="1" si="0"/>
        <v>JP</v>
      </c>
      <c r="T14" s="181" t="str">
        <f ca="1">IF(B14="","",IF(ISERROR(MATCH($J14,SorP!$B$1:$B$6226,0)),"",INDIRECT("'SorP'!$A$"&amp;MATCH($S14&amp;$J14,SorP!C:C,0))))</f>
        <v>JP-14</v>
      </c>
      <c r="U14" s="201"/>
      <c r="V14" s="226">
        <f>IF(C14="",NA(),IF(OR(C14="Smelter not listed",C14="Smelter not yet identified"),MATCH($B14&amp;$D14,'Smelter Look-up'!$J:$J,0),MATCH($B14&amp;$C14,'Smelter Look-up'!$J:$J,0)))</f>
        <v>288</v>
      </c>
      <c r="X14" s="227">
        <f t="shared" si="1"/>
        <v>0</v>
      </c>
      <c r="AB14" s="228" t="str">
        <f t="shared" si="2"/>
        <v>GoldTanaka Kikinzoku Kogyo K.K</v>
      </c>
    </row>
    <row r="15" spans="1:34" s="227" customFormat="1" ht="20" customHeight="1">
      <c r="A15" s="262"/>
      <c r="B15" s="182" t="s">
        <v>1119</v>
      </c>
      <c r="C15" s="186" t="s">
        <v>2147</v>
      </c>
      <c r="D15" s="230"/>
      <c r="E15" s="182" t="s">
        <v>1098</v>
      </c>
      <c r="F15" s="182" t="s">
        <v>729</v>
      </c>
      <c r="G15" s="182" t="s">
        <v>13217</v>
      </c>
      <c r="H15" s="183" t="s">
        <v>15886</v>
      </c>
      <c r="I15" s="184" t="s">
        <v>1661</v>
      </c>
      <c r="J15" s="184" t="s">
        <v>1573</v>
      </c>
      <c r="K15" s="224" t="s">
        <v>15887</v>
      </c>
      <c r="L15" s="224"/>
      <c r="M15" s="224"/>
      <c r="N15" s="224"/>
      <c r="O15" s="224"/>
      <c r="P15" s="185"/>
      <c r="Q15" s="225"/>
      <c r="R15" s="182" t="str">
        <f ca="1">IF(ISERROR($V15),"",OFFSET('Smelter Look-up'!$C$4,$V15-4,0)&amp;"")</f>
        <v>Tokuriki Honten Co., Ltd.</v>
      </c>
      <c r="S15" s="181" t="str">
        <f t="shared" ca="1" si="0"/>
        <v>JP</v>
      </c>
      <c r="T15" s="181" t="str">
        <f ca="1">IF(B15="","",IF(ISERROR(MATCH($J15,SorP!$B$1:$B$6226,0)),"",INDIRECT("'SorP'!$A$"&amp;MATCH($S15&amp;$J15,SorP!C:C,0))))</f>
        <v>JP-11</v>
      </c>
      <c r="U15" s="201"/>
      <c r="V15" s="226">
        <f>IF(C15="",NA(),IF(OR(C15="Smelter not listed",C15="Smelter not yet identified"),MATCH($B15&amp;$D15,'Smelter Look-up'!$J:$J,0),MATCH($B15&amp;$C15,'Smelter Look-up'!$J:$J,0)))</f>
        <v>294</v>
      </c>
      <c r="X15" s="227">
        <f t="shared" si="1"/>
        <v>0</v>
      </c>
      <c r="AB15" s="228" t="str">
        <f t="shared" si="2"/>
        <v>GoldTokuriki Honten Co., Ltd.</v>
      </c>
    </row>
    <row r="16" spans="1:34" s="227" customFormat="1" ht="20" customHeight="1">
      <c r="A16" s="262"/>
      <c r="B16" s="182" t="s">
        <v>1119</v>
      </c>
      <c r="C16" s="186" t="s">
        <v>2483</v>
      </c>
      <c r="D16" s="230"/>
      <c r="E16" s="182" t="s">
        <v>1090</v>
      </c>
      <c r="F16" s="182" t="s">
        <v>673</v>
      </c>
      <c r="G16" s="182" t="s">
        <v>13217</v>
      </c>
      <c r="H16" s="183" t="s">
        <v>15888</v>
      </c>
      <c r="I16" s="184" t="s">
        <v>1581</v>
      </c>
      <c r="J16" s="184" t="s">
        <v>15779</v>
      </c>
      <c r="K16" s="224" t="s">
        <v>15889</v>
      </c>
      <c r="L16" s="224" t="s">
        <v>15890</v>
      </c>
      <c r="M16" s="224"/>
      <c r="N16" s="224" t="s">
        <v>15871</v>
      </c>
      <c r="O16" s="224" t="s">
        <v>15871</v>
      </c>
      <c r="P16" s="185" t="s">
        <v>485</v>
      </c>
      <c r="Q16" s="225"/>
      <c r="R16" s="182" t="str">
        <f ca="1">IF(ISERROR($V16),"",OFFSET('Smelter Look-up'!$C$4,$V16-4,0)&amp;"")</f>
        <v>Heraeus Metals Hong Kong Ltd.</v>
      </c>
      <c r="S16" s="181" t="str">
        <f t="shared" ca="1" si="0"/>
        <v>CN</v>
      </c>
      <c r="T16" s="181" t="str">
        <f ca="1">IF(B16="","",IF(ISERROR(MATCH($J16,SorP!$B$1:$B$6226,0)),"",INDIRECT("'SorP'!$A$"&amp;MATCH($S16&amp;$J16,SorP!C:C,0))))</f>
        <v>CN-HK</v>
      </c>
      <c r="U16" s="201"/>
      <c r="V16" s="226">
        <f>IF(C16="",NA(),IF(OR(C16="Smelter not listed",C16="Smelter not yet identified"),MATCH($B16&amp;$D16,'Smelter Look-up'!$J:$J,0),MATCH($B16&amp;$C16,'Smelter Look-up'!$J:$J,0)))</f>
        <v>111</v>
      </c>
      <c r="X16" s="227">
        <f t="shared" si="1"/>
        <v>0</v>
      </c>
      <c r="AB16" s="228" t="str">
        <f t="shared" si="2"/>
        <v>GoldHeraeus Metals Hong Kong Ltd.</v>
      </c>
    </row>
    <row r="17" spans="1:28" s="227" customFormat="1" ht="20" customHeight="1">
      <c r="A17" s="262"/>
      <c r="B17" s="182" t="s">
        <v>1119</v>
      </c>
      <c r="C17" s="186" t="s">
        <v>896</v>
      </c>
      <c r="D17" s="230"/>
      <c r="E17" s="182" t="s">
        <v>1098</v>
      </c>
      <c r="F17" s="182" t="s">
        <v>667</v>
      </c>
      <c r="G17" s="182" t="s">
        <v>13217</v>
      </c>
      <c r="H17" s="183">
        <v>0</v>
      </c>
      <c r="I17" s="184" t="s">
        <v>1567</v>
      </c>
      <c r="J17" s="184" t="s">
        <v>1568</v>
      </c>
      <c r="K17" s="224"/>
      <c r="L17" s="224"/>
      <c r="M17" s="224"/>
      <c r="N17" s="224"/>
      <c r="O17" s="224"/>
      <c r="P17" s="185"/>
      <c r="Q17" s="225"/>
      <c r="R17" s="182" t="str">
        <f ca="1">IF(ISERROR($V17),"",OFFSET('Smelter Look-up'!$C$4,$V17-4,0)&amp;"")</f>
        <v>Dowa</v>
      </c>
      <c r="S17" s="181" t="str">
        <f t="shared" ca="1" si="0"/>
        <v>JP</v>
      </c>
      <c r="T17" s="181" t="str">
        <f ca="1">IF(B17="","",IF(ISERROR(MATCH($J17,SorP!$B$1:$B$6226,0)),"",INDIRECT("'SorP'!$A$"&amp;MATCH($S17&amp;$J17,SorP!C:C,0))))</f>
        <v>JP-05</v>
      </c>
      <c r="U17" s="201"/>
      <c r="V17" s="226">
        <f>IF(C17="",NA(),IF(OR(C17="Smelter not listed",C17="Smelter not yet identified"),MATCH($B17&amp;$D17,'Smelter Look-up'!$J:$J,0),MATCH($B17&amp;$C17,'Smelter Look-up'!$J:$J,0)))</f>
        <v>69</v>
      </c>
      <c r="X17" s="227">
        <f t="shared" si="1"/>
        <v>0</v>
      </c>
      <c r="AB17" s="228" t="str">
        <f t="shared" si="2"/>
        <v>GoldDowa</v>
      </c>
    </row>
    <row r="18" spans="1:28" s="227" customFormat="1" ht="20" customHeight="1">
      <c r="A18" s="181"/>
      <c r="B18" s="182" t="s">
        <v>1119</v>
      </c>
      <c r="C18" s="186" t="s">
        <v>1571</v>
      </c>
      <c r="D18" s="230"/>
      <c r="E18" s="182" t="s">
        <v>1098</v>
      </c>
      <c r="F18" s="182" t="s">
        <v>667</v>
      </c>
      <c r="G18" s="182" t="s">
        <v>13217</v>
      </c>
      <c r="H18" s="183">
        <v>0</v>
      </c>
      <c r="I18" s="184" t="s">
        <v>1567</v>
      </c>
      <c r="J18" s="184" t="s">
        <v>1568</v>
      </c>
      <c r="K18" s="224"/>
      <c r="L18" s="224"/>
      <c r="M18" s="224"/>
      <c r="N18" s="224"/>
      <c r="O18" s="224"/>
      <c r="P18" s="185"/>
      <c r="Q18" s="225"/>
      <c r="R18" s="182" t="str">
        <f ca="1">IF(ISERROR($V18),"",OFFSET('Smelter Look-up'!$C$4,$V18-4,0)&amp;"")</f>
        <v>Dowa</v>
      </c>
      <c r="S18" s="181" t="str">
        <f t="shared" ca="1" si="0"/>
        <v>JP</v>
      </c>
      <c r="T18" s="181" t="str">
        <f ca="1">IF(B18="","",IF(ISERROR(MATCH($J18,SorP!$B$1:$B$6226,0)),"",INDIRECT("'SorP'!$A$"&amp;MATCH($S18&amp;$J18,SorP!C:C,0))))</f>
        <v>JP-05</v>
      </c>
      <c r="U18" s="201"/>
      <c r="V18" s="226">
        <f>IF(C18="",NA(),IF(OR(C18="Smelter not listed",C18="Smelter not yet identified"),MATCH($B18&amp;$D18,'Smelter Look-up'!$J:$J,0),MATCH($B18&amp;$C18,'Smelter Look-up'!$J:$J,0)))</f>
        <v>72</v>
      </c>
      <c r="X18" s="227">
        <f t="shared" si="1"/>
        <v>0</v>
      </c>
      <c r="AB18" s="228" t="str">
        <f t="shared" si="2"/>
        <v>GoldDowa Metals &amp; Mining Co. Ltd</v>
      </c>
    </row>
    <row r="19" spans="1:28" s="227" customFormat="1" ht="20">
      <c r="A19" s="181"/>
      <c r="B19" s="182" t="s">
        <v>1119</v>
      </c>
      <c r="C19" s="186" t="s">
        <v>2131</v>
      </c>
      <c r="D19" s="230"/>
      <c r="E19" s="182" t="s">
        <v>1098</v>
      </c>
      <c r="F19" s="182" t="s">
        <v>690</v>
      </c>
      <c r="G19" s="182" t="s">
        <v>13217</v>
      </c>
      <c r="H19" s="183">
        <v>0</v>
      </c>
      <c r="I19" s="184" t="s">
        <v>1600</v>
      </c>
      <c r="J19" s="184" t="s">
        <v>1573</v>
      </c>
      <c r="K19" s="224"/>
      <c r="L19" s="224"/>
      <c r="M19" s="224"/>
      <c r="N19" s="224"/>
      <c r="O19" s="224"/>
      <c r="P19" s="185"/>
      <c r="Q19" s="225"/>
      <c r="R19" s="182" t="str">
        <f ca="1">IF(ISERROR($V19),"",OFFSET('Smelter Look-up'!$C$4,$V19-4,0)&amp;"")</f>
        <v>Kojima Chemicals Co., Ltd.</v>
      </c>
      <c r="S19" s="181" t="str">
        <f t="shared" ca="1" si="0"/>
        <v>JP</v>
      </c>
      <c r="T19" s="181" t="str">
        <f ca="1">IF(B19="","",IF(ISERROR(MATCH($J19,SorP!$B$1:$B$6226,0)),"",INDIRECT("'SorP'!$A$"&amp;MATCH($S19&amp;$J19,SorP!C:C,0))))</f>
        <v>JP-11</v>
      </c>
      <c r="U19" s="201"/>
      <c r="V19" s="226">
        <f>IF(C19="",NA(),IF(OR(C19="Smelter not listed",C19="Smelter not yet identified"),MATCH($B19&amp;$D19,'Smelter Look-up'!$J:$J,0),MATCH($B19&amp;$C19,'Smelter Look-up'!$J:$J,0)))</f>
        <v>151</v>
      </c>
      <c r="X19" s="227">
        <f t="shared" si="1"/>
        <v>0</v>
      </c>
      <c r="AB19" s="228" t="str">
        <f t="shared" si="2"/>
        <v>GoldKojima Chemicals Co., Ltd.</v>
      </c>
    </row>
    <row r="20" spans="1:28" s="227" customFormat="1" ht="20">
      <c r="A20" s="181"/>
      <c r="B20" s="182" t="s">
        <v>1120</v>
      </c>
      <c r="C20" s="186" t="s">
        <v>811</v>
      </c>
      <c r="D20" s="230"/>
      <c r="E20" s="182" t="s">
        <v>1105</v>
      </c>
      <c r="F20" s="182" t="s">
        <v>766</v>
      </c>
      <c r="G20" s="182" t="s">
        <v>13217</v>
      </c>
      <c r="H20" s="183">
        <v>0</v>
      </c>
      <c r="I20" s="184" t="s">
        <v>1766</v>
      </c>
      <c r="J20" s="184" t="s">
        <v>8666</v>
      </c>
      <c r="K20" s="224"/>
      <c r="L20" s="224"/>
      <c r="M20" s="224"/>
      <c r="N20" s="224"/>
      <c r="O20" s="224"/>
      <c r="P20" s="185"/>
      <c r="Q20" s="225"/>
      <c r="R20" s="182" t="str">
        <f ca="1">IF(ISERROR($V20),"",OFFSET('Smelter Look-up'!$C$4,$V20-4,0)&amp;"")</f>
        <v>Malaysia Smelting Corporation (MSC)</v>
      </c>
      <c r="S20" s="181" t="str">
        <f t="shared" ca="1" si="0"/>
        <v>MY</v>
      </c>
      <c r="T20" s="181" t="str">
        <f ca="1">IF(B20="","",IF(ISERROR(MATCH($J20,SorP!$B$1:$B$6226,0)),"",INDIRECT("'SorP'!$A$"&amp;MATCH($S20&amp;$J20,SorP!C:C,0))))</f>
        <v>MY-07</v>
      </c>
      <c r="U20" s="201"/>
      <c r="V20" s="226">
        <f>IF(C20="",NA(),IF(OR(C20="Smelter not listed",C20="Smelter not yet identified"),MATCH($B20&amp;$D20,'Smelter Look-up'!$J:$J,0),MATCH($B20&amp;$C20,'Smelter Look-up'!$J:$J,0)))</f>
        <v>474</v>
      </c>
      <c r="X20" s="227">
        <f t="shared" si="1"/>
        <v>0</v>
      </c>
      <c r="AB20" s="228" t="str">
        <f t="shared" si="2"/>
        <v>TinMalaysia Smelting Corporation (MSC)</v>
      </c>
    </row>
    <row r="21" spans="1:28" s="227" customFormat="1" ht="27">
      <c r="A21" s="181"/>
      <c r="B21" s="182" t="s">
        <v>1120</v>
      </c>
      <c r="C21" s="186" t="s">
        <v>13778</v>
      </c>
      <c r="D21" s="230"/>
      <c r="E21" s="182" t="s">
        <v>1095</v>
      </c>
      <c r="F21" s="182" t="s">
        <v>776</v>
      </c>
      <c r="G21" s="182" t="s">
        <v>13217</v>
      </c>
      <c r="H21" s="183">
        <v>0</v>
      </c>
      <c r="I21" s="184" t="s">
        <v>1780</v>
      </c>
      <c r="J21" s="184" t="s">
        <v>12830</v>
      </c>
      <c r="K21" s="224"/>
      <c r="L21" s="224"/>
      <c r="M21" s="224"/>
      <c r="N21" s="224"/>
      <c r="O21" s="224"/>
      <c r="P21" s="185"/>
      <c r="Q21" s="225"/>
      <c r="R21" s="182" t="str">
        <f ca="1">IF(ISERROR($V21),"",OFFSET('Smelter Look-up'!$C$4,$V21-4,0)&amp;"")</f>
        <v>PT Timah Tbk Mentok</v>
      </c>
      <c r="S21" s="181" t="str">
        <f t="shared" ca="1" si="0"/>
        <v>ID</v>
      </c>
      <c r="T21" s="181" t="str">
        <f ca="1">IF(B21="","",IF(ISERROR(MATCH($J21,SorP!$B$1:$B$6226,0)),"",INDIRECT("'SorP'!$A$"&amp;MATCH($S21&amp;$J21,SorP!C:C,0))))</f>
        <v>ID-BB</v>
      </c>
      <c r="U21" s="201"/>
      <c r="V21" s="226">
        <f>IF(C21="",NA(),IF(OR(C21="Smelter not listed",C21="Smelter not yet identified"),MATCH($B21&amp;$D21,'Smelter Look-up'!$J:$J,0),MATCH($B21&amp;$C21,'Smelter Look-up'!$J:$J,0)))</f>
        <v>533</v>
      </c>
      <c r="X21" s="227">
        <f t="shared" si="1"/>
        <v>0</v>
      </c>
      <c r="AB21" s="228" t="str">
        <f t="shared" si="2"/>
        <v>TinPT Timah Tbk Mentok</v>
      </c>
    </row>
    <row r="22" spans="1:28" s="227" customFormat="1" ht="20">
      <c r="A22" s="181"/>
      <c r="B22" s="182" t="s">
        <v>1120</v>
      </c>
      <c r="C22" s="186" t="s">
        <v>2128</v>
      </c>
      <c r="D22" s="230"/>
      <c r="E22" s="182" t="s">
        <v>1090</v>
      </c>
      <c r="F22" s="182" t="s">
        <v>762</v>
      </c>
      <c r="G22" s="182" t="s">
        <v>13217</v>
      </c>
      <c r="H22" s="183">
        <v>0</v>
      </c>
      <c r="I22" s="184" t="s">
        <v>2429</v>
      </c>
      <c r="J22" s="184" t="s">
        <v>13605</v>
      </c>
      <c r="K22" s="224"/>
      <c r="L22" s="224"/>
      <c r="M22" s="224"/>
      <c r="N22" s="224"/>
      <c r="O22" s="224"/>
      <c r="P22" s="185"/>
      <c r="Q22" s="225"/>
      <c r="R22" s="182" t="str">
        <f ca="1">IF(ISERROR($V22),"",OFFSET('Smelter Look-up'!$C$4,$V22-4,0)&amp;"")</f>
        <v>Gejiu Non-Ferrous Metal Processing Co., Ltd.</v>
      </c>
      <c r="S22" s="181" t="str">
        <f t="shared" ca="1" si="0"/>
        <v>CN</v>
      </c>
      <c r="T22" s="181" t="str">
        <f ca="1">IF(B22="","",IF(ISERROR(MATCH($J22,SorP!$B$1:$B$6226,0)),"",INDIRECT("'SorP'!$A$"&amp;MATCH($S22&amp;$J22,SorP!C:C,0))))</f>
        <v>CN-YN</v>
      </c>
      <c r="U22" s="201"/>
      <c r="V22" s="226">
        <f>IF(C22="",NA(),IF(OR(C22="Smelter not listed",C22="Smelter not yet identified"),MATCH($B22&amp;$D22,'Smelter Look-up'!$J:$J,0),MATCH($B22&amp;$C22,'Smelter Look-up'!$J:$J,0)))</f>
        <v>448</v>
      </c>
      <c r="X22" s="227">
        <f t="shared" si="1"/>
        <v>0</v>
      </c>
      <c r="AB22" s="228" t="str">
        <f t="shared" si="2"/>
        <v>TinGejiu Non-Ferrous Metal Processing Co., Ltd.</v>
      </c>
    </row>
    <row r="23" spans="1:28" s="227" customFormat="1" ht="20">
      <c r="A23" s="181"/>
      <c r="B23" s="182" t="s">
        <v>1120</v>
      </c>
      <c r="C23" s="186" t="s">
        <v>12910</v>
      </c>
      <c r="D23" s="230"/>
      <c r="E23" s="182" t="s">
        <v>1085</v>
      </c>
      <c r="F23" s="182" t="s">
        <v>1801</v>
      </c>
      <c r="G23" s="182" t="s">
        <v>13217</v>
      </c>
      <c r="H23" s="183">
        <v>0</v>
      </c>
      <c r="I23" s="184" t="s">
        <v>1802</v>
      </c>
      <c r="J23" s="184" t="s">
        <v>3135</v>
      </c>
      <c r="K23" s="224"/>
      <c r="L23" s="224"/>
      <c r="M23" s="224"/>
      <c r="N23" s="224"/>
      <c r="O23" s="224"/>
      <c r="P23" s="185"/>
      <c r="Q23" s="225"/>
      <c r="R23" s="182" t="str">
        <f ca="1">IF(ISERROR($V23),"",OFFSET('Smelter Look-up'!$C$4,$V23-4,0)&amp;"")</f>
        <v>Aurubis Beerse</v>
      </c>
      <c r="S23" s="181" t="str">
        <f t="shared" ca="1" si="0"/>
        <v>BE</v>
      </c>
      <c r="T23" s="181" t="str">
        <f ca="1">IF(B23="","",IF(ISERROR(MATCH($J23,SorP!$B$1:$B$6226,0)),"",INDIRECT("'SorP'!$A$"&amp;MATCH($S23&amp;$J23,SorP!C:C,0))))</f>
        <v>BE-VAN</v>
      </c>
      <c r="U23" s="201"/>
      <c r="V23" s="226">
        <f>IF(C23="",NA(),IF(OR(C23="Smelter not listed",C23="Smelter not yet identified"),MATCH($B23&amp;$D23,'Smelter Look-up'!$J:$J,0),MATCH($B23&amp;$C23,'Smelter Look-up'!$J:$J,0)))</f>
        <v>480</v>
      </c>
      <c r="X23" s="227">
        <f t="shared" si="1"/>
        <v>0</v>
      </c>
      <c r="AB23" s="228" t="str">
        <f t="shared" si="2"/>
        <v>TinMetallo Belgium N.V.</v>
      </c>
    </row>
    <row r="24" spans="1:28" s="227" customFormat="1" ht="20">
      <c r="A24" s="181"/>
      <c r="B24" s="182" t="s">
        <v>1120</v>
      </c>
      <c r="C24" s="186" t="s">
        <v>1023</v>
      </c>
      <c r="D24" s="230"/>
      <c r="E24" s="182" t="s">
        <v>1086</v>
      </c>
      <c r="F24" s="182" t="s">
        <v>767</v>
      </c>
      <c r="G24" s="182" t="s">
        <v>13217</v>
      </c>
      <c r="H24" s="183">
        <v>0</v>
      </c>
      <c r="I24" s="184" t="s">
        <v>1769</v>
      </c>
      <c r="J24" s="184" t="s">
        <v>1666</v>
      </c>
      <c r="K24" s="224"/>
      <c r="L24" s="224"/>
      <c r="M24" s="224"/>
      <c r="N24" s="224"/>
      <c r="O24" s="224"/>
      <c r="P24" s="185"/>
      <c r="Q24" s="225"/>
      <c r="R24" s="182" t="str">
        <f ca="1">IF(ISERROR($V24),"",OFFSET('Smelter Look-up'!$C$4,$V24-4,0)&amp;"")</f>
        <v>Mineracao Taboca S.A.</v>
      </c>
      <c r="S24" s="181" t="str">
        <f t="shared" ca="1" si="0"/>
        <v>BR</v>
      </c>
      <c r="T24" s="181" t="str">
        <f ca="1">IF(B24="","",IF(ISERROR(MATCH($J24,SorP!$B$1:$B$6226,0)),"",INDIRECT("'SorP'!$A$"&amp;MATCH($S24&amp;$J24,SorP!C:C,0))))</f>
        <v>BR-SP</v>
      </c>
      <c r="U24" s="201"/>
      <c r="V24" s="226">
        <f>IF(C24="",NA(),IF(OR(C24="Smelter not listed",C24="Smelter not yet identified"),MATCH($B24&amp;$D24,'Smelter Look-up'!$J:$J,0),MATCH($B24&amp;$C24,'Smelter Look-up'!$J:$J,0)))</f>
        <v>483</v>
      </c>
      <c r="X24" s="227">
        <f t="shared" si="1"/>
        <v>0</v>
      </c>
      <c r="AB24" s="228" t="str">
        <f t="shared" si="2"/>
        <v>TinMineração Taboca S.A.</v>
      </c>
    </row>
    <row r="25" spans="1:28" s="227" customFormat="1" ht="20">
      <c r="A25" s="181"/>
      <c r="B25" s="182" t="s">
        <v>1120</v>
      </c>
      <c r="C25" s="186" t="s">
        <v>1024</v>
      </c>
      <c r="D25" s="230"/>
      <c r="E25" s="182" t="s">
        <v>870</v>
      </c>
      <c r="F25" s="182" t="s">
        <v>768</v>
      </c>
      <c r="G25" s="182" t="s">
        <v>13217</v>
      </c>
      <c r="H25" s="183">
        <v>0</v>
      </c>
      <c r="I25" s="184" t="s">
        <v>1771</v>
      </c>
      <c r="J25" s="184" t="s">
        <v>9093</v>
      </c>
      <c r="K25" s="224"/>
      <c r="L25" s="224"/>
      <c r="M25" s="224"/>
      <c r="N25" s="224"/>
      <c r="O25" s="224"/>
      <c r="P25" s="185"/>
      <c r="Q25" s="225"/>
      <c r="R25" s="182" t="str">
        <f ca="1">IF(ISERROR($V25),"",OFFSET('Smelter Look-up'!$C$4,$V25-4,0)&amp;"")</f>
        <v>Minsur</v>
      </c>
      <c r="S25" s="181" t="str">
        <f t="shared" ca="1" si="0"/>
        <v>PE</v>
      </c>
      <c r="T25" s="181" t="str">
        <f ca="1">IF(B25="","",IF(ISERROR(MATCH($J25,SorP!$B$1:$B$6226,0)),"",INDIRECT("'SorP'!$A$"&amp;MATCH($S25&amp;$J25,SorP!C:C,0))))</f>
        <v>PE-ICA</v>
      </c>
      <c r="U25" s="201"/>
      <c r="V25" s="226">
        <f>IF(C25="",NA(),IF(OR(C25="Smelter not listed",C25="Smelter not yet identified"),MATCH($B25&amp;$D25,'Smelter Look-up'!$J:$J,0),MATCH($B25&amp;$C25,'Smelter Look-up'!$J:$J,0)))</f>
        <v>487</v>
      </c>
      <c r="X25" s="227">
        <f t="shared" si="1"/>
        <v>0</v>
      </c>
      <c r="AB25" s="228" t="str">
        <f t="shared" si="2"/>
        <v>TinMinsur</v>
      </c>
    </row>
    <row r="26" spans="1:28" s="227" customFormat="1" ht="27">
      <c r="A26" s="181"/>
      <c r="B26" s="182" t="s">
        <v>1120</v>
      </c>
      <c r="C26" s="186" t="s">
        <v>623</v>
      </c>
      <c r="D26" s="230"/>
      <c r="E26" s="182" t="s">
        <v>1095</v>
      </c>
      <c r="F26" s="182" t="s">
        <v>774</v>
      </c>
      <c r="G26" s="182" t="s">
        <v>13217</v>
      </c>
      <c r="H26" s="183">
        <v>0</v>
      </c>
      <c r="I26" s="184" t="s">
        <v>1753</v>
      </c>
      <c r="J26" s="184" t="s">
        <v>12830</v>
      </c>
      <c r="K26" s="224"/>
      <c r="L26" s="224"/>
      <c r="M26" s="224"/>
      <c r="N26" s="224"/>
      <c r="O26" s="224"/>
      <c r="P26" s="185"/>
      <c r="Q26" s="225"/>
      <c r="R26" s="182" t="str">
        <f ca="1">IF(ISERROR($V26),"",OFFSET('Smelter Look-up'!$C$4,$V26-4,0)&amp;"")</f>
        <v>PT Mitra Stania Prima</v>
      </c>
      <c r="S26" s="181" t="str">
        <f t="shared" ca="1" si="0"/>
        <v>ID</v>
      </c>
      <c r="T26" s="181" t="str">
        <f ca="1">IF(B26="","",IF(ISERROR(MATCH($J26,SorP!$B$1:$B$6226,0)),"",INDIRECT("'SorP'!$A$"&amp;MATCH($S26&amp;$J26,SorP!C:C,0))))</f>
        <v>ID-BB</v>
      </c>
      <c r="U26" s="201"/>
      <c r="V26" s="226">
        <f>IF(C26="",NA(),IF(OR(C26="Smelter not listed",C26="Smelter not yet identified"),MATCH($B26&amp;$D26,'Smelter Look-up'!$J:$J,0),MATCH($B26&amp;$C26,'Smelter Look-up'!$J:$J,0)))</f>
        <v>518</v>
      </c>
      <c r="X26" s="227">
        <f t="shared" si="1"/>
        <v>0</v>
      </c>
      <c r="AB26" s="228" t="str">
        <f t="shared" si="2"/>
        <v>TinPT Mitra Stania Prima</v>
      </c>
    </row>
    <row r="27" spans="1:28" s="227" customFormat="1" ht="27">
      <c r="A27" s="181"/>
      <c r="B27" s="182" t="s">
        <v>1120</v>
      </c>
      <c r="C27" s="186" t="s">
        <v>2141</v>
      </c>
      <c r="D27" s="230"/>
      <c r="E27" s="182" t="s">
        <v>1095</v>
      </c>
      <c r="F27" s="182" t="s">
        <v>775</v>
      </c>
      <c r="G27" s="182" t="s">
        <v>13217</v>
      </c>
      <c r="H27" s="183">
        <v>0</v>
      </c>
      <c r="I27" s="184" t="s">
        <v>1753</v>
      </c>
      <c r="J27" s="184" t="s">
        <v>12830</v>
      </c>
      <c r="K27" s="224"/>
      <c r="L27" s="224"/>
      <c r="M27" s="224"/>
      <c r="N27" s="224"/>
      <c r="O27" s="224"/>
      <c r="P27" s="185"/>
      <c r="Q27" s="225"/>
      <c r="R27" s="182" t="str">
        <f ca="1">IF(ISERROR($V27),"",OFFSET('Smelter Look-up'!$C$4,$V27-4,0)&amp;"")</f>
        <v>PT Refined Bangka Tin</v>
      </c>
      <c r="S27" s="181" t="str">
        <f t="shared" ca="1" si="0"/>
        <v>ID</v>
      </c>
      <c r="T27" s="181" t="str">
        <f ca="1">IF(B27="","",IF(ISERROR(MATCH($J27,SorP!$B$1:$B$6226,0)),"",INDIRECT("'SorP'!$A$"&amp;MATCH($S27&amp;$J27,SorP!C:C,0))))</f>
        <v>ID-BB</v>
      </c>
      <c r="U27" s="201"/>
      <c r="V27" s="226">
        <f>IF(C27="",NA(),IF(OR(C27="Smelter not listed",C27="Smelter not yet identified"),MATCH($B27&amp;$D27,'Smelter Look-up'!$J:$J,0),MATCH($B27&amp;$C27,'Smelter Look-up'!$J:$J,0)))</f>
        <v>526</v>
      </c>
      <c r="X27" s="227">
        <f t="shared" si="1"/>
        <v>0</v>
      </c>
      <c r="AB27" s="228" t="str">
        <f t="shared" si="2"/>
        <v>TinPT Refined Bangka Tin</v>
      </c>
    </row>
    <row r="28" spans="1:28" s="227" customFormat="1" ht="20">
      <c r="A28" s="181"/>
      <c r="B28" s="182" t="s">
        <v>1120</v>
      </c>
      <c r="C28" s="186" t="s">
        <v>13779</v>
      </c>
      <c r="D28" s="230"/>
      <c r="E28" s="182" t="s">
        <v>1095</v>
      </c>
      <c r="F28" s="182" t="s">
        <v>794</v>
      </c>
      <c r="G28" s="182" t="s">
        <v>13217</v>
      </c>
      <c r="H28" s="183">
        <v>0</v>
      </c>
      <c r="I28" s="184" t="s">
        <v>1778</v>
      </c>
      <c r="J28" s="184" t="s">
        <v>6047</v>
      </c>
      <c r="K28" s="224"/>
      <c r="L28" s="224"/>
      <c r="M28" s="224"/>
      <c r="N28" s="224"/>
      <c r="O28" s="224"/>
      <c r="P28" s="185"/>
      <c r="Q28" s="225"/>
      <c r="R28" s="182" t="str">
        <f ca="1">IF(ISERROR($V28),"",OFFSET('Smelter Look-up'!$C$4,$V28-4,0)&amp;"")</f>
        <v>PT Timah Tbk Kundur</v>
      </c>
      <c r="S28" s="181" t="str">
        <f t="shared" ca="1" si="0"/>
        <v>ID</v>
      </c>
      <c r="T28" s="181" t="str">
        <f ca="1">IF(B28="","",IF(ISERROR(MATCH($J28,SorP!$B$1:$B$6226,0)),"",INDIRECT("'SorP'!$A$"&amp;MATCH($S28&amp;$J28,SorP!C:C,0))))</f>
        <v>ID-RI</v>
      </c>
      <c r="U28" s="201"/>
      <c r="V28" s="226">
        <f>IF(C28="",NA(),IF(OR(C28="Smelter not listed",C28="Smelter not yet identified"),MATCH($B28&amp;$D28,'Smelter Look-up'!$J:$J,0),MATCH($B28&amp;$C28,'Smelter Look-up'!$J:$J,0)))</f>
        <v>532</v>
      </c>
      <c r="X28" s="227">
        <f t="shared" si="1"/>
        <v>0</v>
      </c>
      <c r="AB28" s="228" t="str">
        <f t="shared" si="2"/>
        <v>TinPT Timah Tbk Kundur</v>
      </c>
    </row>
    <row r="29" spans="1:28" s="227" customFormat="1" ht="20">
      <c r="A29" s="181"/>
      <c r="B29" s="182" t="s">
        <v>1120</v>
      </c>
      <c r="C29" s="186" t="s">
        <v>1783</v>
      </c>
      <c r="D29" s="230"/>
      <c r="E29" s="182" t="s">
        <v>878</v>
      </c>
      <c r="F29" s="182" t="s">
        <v>779</v>
      </c>
      <c r="G29" s="182" t="s">
        <v>13217</v>
      </c>
      <c r="H29" s="183">
        <v>0</v>
      </c>
      <c r="I29" s="184" t="s">
        <v>1781</v>
      </c>
      <c r="J29" s="184" t="s">
        <v>1782</v>
      </c>
      <c r="K29" s="224"/>
      <c r="L29" s="224"/>
      <c r="M29" s="224"/>
      <c r="N29" s="224"/>
      <c r="O29" s="224"/>
      <c r="P29" s="185"/>
      <c r="Q29" s="225"/>
      <c r="R29" s="182" t="str">
        <f ca="1">IF(ISERROR($V29),"",OFFSET('Smelter Look-up'!$C$4,$V29-4,0)&amp;"")</f>
        <v>Thaisarco</v>
      </c>
      <c r="S29" s="181" t="str">
        <f t="shared" ca="1" si="0"/>
        <v>TH</v>
      </c>
      <c r="T29" s="181" t="str">
        <f ca="1">IF(B29="","",IF(ISERROR(MATCH($J29,SorP!$B$1:$B$6226,0)),"",INDIRECT("'SorP'!$A$"&amp;MATCH($S29&amp;$J29,SorP!C:C,0))))</f>
        <v>TH-83</v>
      </c>
      <c r="U29" s="201"/>
      <c r="V29" s="226">
        <f>IF(C29="",NA(),IF(OR(C29="Smelter not listed",C29="Smelter not yet identified"),MATCH($B29&amp;$D29,'Smelter Look-up'!$J:$J,0),MATCH($B29&amp;$C29,'Smelter Look-up'!$J:$J,0)))</f>
        <v>546</v>
      </c>
      <c r="X29" s="227">
        <f t="shared" si="1"/>
        <v>0</v>
      </c>
      <c r="AB29" s="228" t="str">
        <f t="shared" si="2"/>
        <v>TinThailand Smelting &amp; Refining Co Ltd</v>
      </c>
    </row>
    <row r="30" spans="1:28" s="227" customFormat="1" ht="20">
      <c r="A30" s="181"/>
      <c r="B30" s="182" t="s">
        <v>1120</v>
      </c>
      <c r="C30" s="186" t="s">
        <v>1021</v>
      </c>
      <c r="D30" s="230"/>
      <c r="E30" s="182" t="s">
        <v>878</v>
      </c>
      <c r="F30" s="182" t="s">
        <v>779</v>
      </c>
      <c r="G30" s="182" t="s">
        <v>13217</v>
      </c>
      <c r="H30" s="183">
        <v>0</v>
      </c>
      <c r="I30" s="184" t="s">
        <v>1781</v>
      </c>
      <c r="J30" s="184" t="s">
        <v>1782</v>
      </c>
      <c r="K30" s="224"/>
      <c r="L30" s="224"/>
      <c r="M30" s="224"/>
      <c r="N30" s="224"/>
      <c r="O30" s="224"/>
      <c r="P30" s="185"/>
      <c r="Q30" s="225"/>
      <c r="R30" s="182" t="str">
        <f ca="1">IF(ISERROR($V30),"",OFFSET('Smelter Look-up'!$C$4,$V30-4,0)&amp;"")</f>
        <v>Thaisarco</v>
      </c>
      <c r="S30" s="181" t="str">
        <f t="shared" ca="1" si="0"/>
        <v>TH</v>
      </c>
      <c r="T30" s="181" t="str">
        <f ca="1">IF(B30="","",IF(ISERROR(MATCH($J30,SorP!$B$1:$B$6226,0)),"",INDIRECT("'SorP'!$A$"&amp;MATCH($S30&amp;$J30,SorP!C:C,0))))</f>
        <v>TH-83</v>
      </c>
      <c r="U30" s="201"/>
      <c r="V30" s="226">
        <f>IF(C30="",NA(),IF(OR(C30="Smelter not listed",C30="Smelter not yet identified"),MATCH($B30&amp;$D30,'Smelter Look-up'!$J:$J,0),MATCH($B30&amp;$C30,'Smelter Look-up'!$J:$J,0)))</f>
        <v>547</v>
      </c>
      <c r="X30" s="227">
        <f t="shared" si="1"/>
        <v>0</v>
      </c>
      <c r="AB30" s="228" t="str">
        <f t="shared" si="2"/>
        <v>TinThaisarco</v>
      </c>
    </row>
    <row r="31" spans="1:28" s="227" customFormat="1" ht="20">
      <c r="A31" s="181"/>
      <c r="B31" s="182" t="s">
        <v>1122</v>
      </c>
      <c r="C31" s="186" t="s">
        <v>1371</v>
      </c>
      <c r="D31" s="230"/>
      <c r="E31" s="182" t="s">
        <v>1090</v>
      </c>
      <c r="F31" s="182" t="s">
        <v>793</v>
      </c>
      <c r="G31" s="182" t="s">
        <v>13217</v>
      </c>
      <c r="H31" s="183">
        <v>0</v>
      </c>
      <c r="I31" s="184" t="s">
        <v>1817</v>
      </c>
      <c r="J31" s="184" t="s">
        <v>13595</v>
      </c>
      <c r="K31" s="224"/>
      <c r="L31" s="224"/>
      <c r="M31" s="224"/>
      <c r="N31" s="224"/>
      <c r="O31" s="224"/>
      <c r="P31" s="185"/>
      <c r="Q31" s="225"/>
      <c r="R31" s="182" t="str">
        <f ca="1">IF(ISERROR($V31),"",OFFSET('Smelter Look-up'!$C$4,$V31-4,0)&amp;"")</f>
        <v>Xiamen Tungsten Co., Ltd.</v>
      </c>
      <c r="S31" s="181" t="str">
        <f t="shared" ca="1" si="0"/>
        <v>CN</v>
      </c>
      <c r="T31" s="181" t="str">
        <f ca="1">IF(B31="","",IF(ISERROR(MATCH($J31,SorP!$B$1:$B$6226,0)),"",INDIRECT("'SorP'!$A$"&amp;MATCH($S31&amp;$J31,SorP!C:C,0))))</f>
        <v>CN-FJ</v>
      </c>
      <c r="U31" s="201"/>
      <c r="V31" s="226">
        <f>IF(C31="",NA(),IF(OR(C31="Smelter not listed",C31="Smelter not yet identified"),MATCH($B31&amp;$D31,'Smelter Look-up'!$J:$J,0),MATCH($B31&amp;$C31,'Smelter Look-up'!$J:$J,0)))</f>
        <v>659</v>
      </c>
      <c r="X31" s="227">
        <f t="shared" si="1"/>
        <v>0</v>
      </c>
      <c r="AB31" s="228" t="str">
        <f t="shared" si="2"/>
        <v>TungstenXiamen Tungsten Co., Ltd.</v>
      </c>
    </row>
    <row r="32" spans="1:28" s="227" customFormat="1" ht="20">
      <c r="A32" s="181"/>
      <c r="B32" s="182" t="s">
        <v>1122</v>
      </c>
      <c r="C32" s="186" t="s">
        <v>149</v>
      </c>
      <c r="D32" s="230"/>
      <c r="E32" s="182" t="s">
        <v>1090</v>
      </c>
      <c r="F32" s="182" t="s">
        <v>139</v>
      </c>
      <c r="G32" s="182" t="s">
        <v>13217</v>
      </c>
      <c r="H32" s="183">
        <v>0</v>
      </c>
      <c r="I32" s="184" t="s">
        <v>1759</v>
      </c>
      <c r="J32" s="184" t="s">
        <v>13596</v>
      </c>
      <c r="K32" s="224"/>
      <c r="L32" s="224"/>
      <c r="M32" s="224"/>
      <c r="N32" s="224"/>
      <c r="O32" s="224"/>
      <c r="P32" s="185"/>
      <c r="Q32" s="225"/>
      <c r="R32" s="182" t="str">
        <f ca="1">IF(ISERROR($V32),"",OFFSET('Smelter Look-up'!$C$4,$V32-4,0)&amp;"")</f>
        <v>Jiangxi Xinsheng Tungsten Industry Co., Ltd.</v>
      </c>
      <c r="S32" s="181" t="str">
        <f t="shared" ca="1" si="0"/>
        <v>CN</v>
      </c>
      <c r="T32" s="181" t="str">
        <f ca="1">IF(B32="","",IF(ISERROR(MATCH($J32,SorP!$B$1:$B$6226,0)),"",INDIRECT("'SorP'!$A$"&amp;MATCH($S32&amp;$J32,SorP!C:C,0))))</f>
        <v>CN-JX</v>
      </c>
      <c r="U32" s="201"/>
      <c r="V32" s="226">
        <f>IF(C32="",NA(),IF(OR(C32="Smelter not listed",C32="Smelter not yet identified"),MATCH($B32&amp;$D32,'Smelter Look-up'!$J:$J,0),MATCH($B32&amp;$C32,'Smelter Look-up'!$J:$J,0)))</f>
        <v>624</v>
      </c>
      <c r="X32" s="227">
        <f t="shared" si="1"/>
        <v>0</v>
      </c>
      <c r="AB32" s="228" t="str">
        <f t="shared" si="2"/>
        <v>TungstenJiangxi Xinsheng Tungsten Industry Co., Ltd.</v>
      </c>
    </row>
    <row r="33" spans="1:28" s="227" customFormat="1" ht="20">
      <c r="A33" s="181"/>
      <c r="B33" s="182" t="s">
        <v>1122</v>
      </c>
      <c r="C33" s="186" t="s">
        <v>1367</v>
      </c>
      <c r="D33" s="230"/>
      <c r="E33" s="182" t="s">
        <v>1090</v>
      </c>
      <c r="F33" s="182" t="s">
        <v>786</v>
      </c>
      <c r="G33" s="182" t="s">
        <v>13217</v>
      </c>
      <c r="H33" s="183">
        <v>0</v>
      </c>
      <c r="I33" s="184" t="s">
        <v>1759</v>
      </c>
      <c r="J33" s="184" t="s">
        <v>13596</v>
      </c>
      <c r="K33" s="224"/>
      <c r="L33" s="224"/>
      <c r="M33" s="224"/>
      <c r="N33" s="224"/>
      <c r="O33" s="224"/>
      <c r="P33" s="185"/>
      <c r="Q33" s="225"/>
      <c r="R33" s="182" t="str">
        <f ca="1">IF(ISERROR($V33),"",OFFSET('Smelter Look-up'!$C$4,$V33-4,0)&amp;"")</f>
        <v>Chongyi Zhangyuan Tungsten Co., Ltd.</v>
      </c>
      <c r="S33" s="181" t="str">
        <f t="shared" ca="1" si="0"/>
        <v>CN</v>
      </c>
      <c r="T33" s="181" t="str">
        <f ca="1">IF(B33="","",IF(ISERROR(MATCH($J33,SorP!$B$1:$B$6226,0)),"",INDIRECT("'SorP'!$A$"&amp;MATCH($S33&amp;$J33,SorP!C:C,0))))</f>
        <v>CN-JX</v>
      </c>
      <c r="U33" s="201"/>
      <c r="V33" s="226">
        <f>IF(C33="",NA(),IF(OR(C33="Smelter not listed",C33="Smelter not yet identified"),MATCH($B33&amp;$D33,'Smelter Look-up'!$J:$J,0),MATCH($B33&amp;$C33,'Smelter Look-up'!$J:$J,0)))</f>
        <v>595</v>
      </c>
      <c r="X33" s="227">
        <f t="shared" si="1"/>
        <v>0</v>
      </c>
      <c r="AB33" s="228" t="str">
        <f t="shared" si="2"/>
        <v>TungstenChongyi Zhangyuan Tungsten Co., Ltd.</v>
      </c>
    </row>
    <row r="34" spans="1:28" s="227" customFormat="1" ht="20">
      <c r="A34" s="181"/>
      <c r="B34" s="182" t="s">
        <v>1122</v>
      </c>
      <c r="C34" s="186" t="s">
        <v>388</v>
      </c>
      <c r="D34" s="230"/>
      <c r="E34" s="182" t="s">
        <v>1090</v>
      </c>
      <c r="F34" s="182" t="s">
        <v>389</v>
      </c>
      <c r="G34" s="182" t="s">
        <v>13217</v>
      </c>
      <c r="H34" s="183">
        <v>0</v>
      </c>
      <c r="I34" s="184" t="s">
        <v>1759</v>
      </c>
      <c r="J34" s="184" t="s">
        <v>13596</v>
      </c>
      <c r="K34" s="224"/>
      <c r="L34" s="224"/>
      <c r="M34" s="224"/>
      <c r="N34" s="224"/>
      <c r="O34" s="224"/>
      <c r="P34" s="185"/>
      <c r="Q34" s="225"/>
      <c r="R34" s="182" t="str">
        <f ca="1">IF(ISERROR($V34),"",OFFSET('Smelter Look-up'!$C$4,$V34-4,0)&amp;"")</f>
        <v>Ganzhou Seadragon W &amp; Mo Co., Ltd.</v>
      </c>
      <c r="S34" s="181" t="str">
        <f t="shared" ca="1" si="0"/>
        <v>CN</v>
      </c>
      <c r="T34" s="181" t="str">
        <f ca="1">IF(B34="","",IF(ISERROR(MATCH($J34,SorP!$B$1:$B$6226,0)),"",INDIRECT("'SorP'!$A$"&amp;MATCH($S34&amp;$J34,SorP!C:C,0))))</f>
        <v>CN-JX</v>
      </c>
      <c r="U34" s="201"/>
      <c r="V34" s="226">
        <f>IF(C34="",NA(),IF(OR(C34="Smelter not listed",C34="Smelter not yet identified"),MATCH($B34&amp;$D34,'Smelter Look-up'!$J:$J,0),MATCH($B34&amp;$C34,'Smelter Look-up'!$J:$J,0)))</f>
        <v>602</v>
      </c>
      <c r="X34" s="227">
        <f t="shared" si="1"/>
        <v>0</v>
      </c>
      <c r="AB34" s="228" t="str">
        <f t="shared" si="2"/>
        <v>TungstenGanzhou Seadragon W &amp; Mo Co., Ltd.</v>
      </c>
    </row>
    <row r="35" spans="1:28" s="227" customFormat="1" ht="20">
      <c r="A35" s="181"/>
      <c r="B35" s="182" t="s">
        <v>1121</v>
      </c>
      <c r="C35" s="186" t="s">
        <v>43</v>
      </c>
      <c r="D35" s="230"/>
      <c r="E35" s="182" t="s">
        <v>1090</v>
      </c>
      <c r="F35" s="182" t="s">
        <v>741</v>
      </c>
      <c r="G35" s="182" t="s">
        <v>13217</v>
      </c>
      <c r="H35" s="183">
        <v>0</v>
      </c>
      <c r="I35" s="184" t="s">
        <v>1705</v>
      </c>
      <c r="J35" s="184" t="s">
        <v>13601</v>
      </c>
      <c r="K35" s="224"/>
      <c r="L35" s="224"/>
      <c r="M35" s="224"/>
      <c r="N35" s="224"/>
      <c r="O35" s="224"/>
      <c r="P35" s="185"/>
      <c r="Q35" s="225"/>
      <c r="R35" s="182" t="str">
        <f ca="1">IF(ISERROR($V35),"",OFFSET('Smelter Look-up'!$C$4,$V35-4,0)&amp;"")</f>
        <v>F&amp;X Electro-Materials Ltd.</v>
      </c>
      <c r="S35" s="181" t="str">
        <f t="shared" ca="1" si="0"/>
        <v>CN</v>
      </c>
      <c r="T35" s="181" t="str">
        <f ca="1">IF(B35="","",IF(ISERROR(MATCH($J35,SorP!$B$1:$B$6226,0)),"",INDIRECT("'SorP'!$A$"&amp;MATCH($S35&amp;$J35,SorP!C:C,0))))</f>
        <v>CN-GD</v>
      </c>
      <c r="U35" s="201"/>
      <c r="V35" s="226">
        <f>IF(C35="",NA(),IF(OR(C35="Smelter not listed",C35="Smelter not yet identified"),MATCH($B35&amp;$D35,'Smelter Look-up'!$J:$J,0),MATCH($B35&amp;$C35,'Smelter Look-up'!$J:$J,0)))</f>
        <v>338</v>
      </c>
      <c r="X35" s="227">
        <f t="shared" si="1"/>
        <v>0</v>
      </c>
      <c r="AB35" s="228" t="str">
        <f t="shared" si="2"/>
        <v>TantalumF&amp;X Electro-Materials Ltd.</v>
      </c>
    </row>
    <row r="36" spans="1:28" s="227" customFormat="1" ht="20">
      <c r="A36" s="181"/>
      <c r="B36" s="182"/>
      <c r="C36" s="186"/>
      <c r="D36" s="230"/>
      <c r="E36" s="182"/>
      <c r="F36" s="182"/>
      <c r="G36" s="182"/>
      <c r="H36" s="183"/>
      <c r="I36" s="184"/>
      <c r="J36" s="184"/>
      <c r="K36" s="224"/>
      <c r="L36" s="224"/>
      <c r="M36" s="224"/>
      <c r="N36" s="224"/>
      <c r="O36" s="224"/>
      <c r="P36" s="185"/>
      <c r="Q36" s="225"/>
      <c r="R36" s="182" t="str">
        <f ca="1">IF(ISERROR($V36),"",OFFSET('Smelter Look-up'!$C$4,$V36-4,0)&amp;"")</f>
        <v/>
      </c>
      <c r="S36" s="181" t="str">
        <f t="shared" ca="1" si="0"/>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si="1"/>
        <v>0</v>
      </c>
      <c r="AB36" s="228" t="str">
        <f t="shared" si="2"/>
        <v/>
      </c>
    </row>
    <row r="37" spans="1:28" s="227" customFormat="1" ht="20">
      <c r="A37" s="181"/>
      <c r="B37" s="182" t="s">
        <v>15891</v>
      </c>
      <c r="C37" s="186" t="s">
        <v>15891</v>
      </c>
      <c r="D37" s="230"/>
      <c r="E37" s="182" t="s">
        <v>15891</v>
      </c>
      <c r="F37" s="182" t="s">
        <v>15891</v>
      </c>
      <c r="G37" s="182" t="s">
        <v>15891</v>
      </c>
      <c r="H37" s="183" t="s">
        <v>15891</v>
      </c>
      <c r="I37" s="184" t="s">
        <v>15891</v>
      </c>
      <c r="J37" s="184" t="s">
        <v>15891</v>
      </c>
      <c r="K37" s="224"/>
      <c r="L37" s="224"/>
      <c r="M37" s="224"/>
      <c r="N37" s="224"/>
      <c r="O37" s="224"/>
      <c r="P37" s="185"/>
      <c r="Q37" s="225"/>
      <c r="R37" s="182" t="str">
        <f ca="1">IF(ISERROR($V37),"",OFFSET('Smelter Look-up'!$C$4,$V37-4,0)&amp;"")</f>
        <v/>
      </c>
      <c r="S37" s="181" t="str">
        <f t="shared" ca="1" si="0"/>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1"/>
        <v>0</v>
      </c>
      <c r="AB37" s="228" t="str">
        <f t="shared" si="2"/>
        <v/>
      </c>
    </row>
    <row r="38" spans="1:28" s="227" customFormat="1" ht="20">
      <c r="A38" s="181"/>
      <c r="B38" s="182" t="s">
        <v>15891</v>
      </c>
      <c r="C38" s="186" t="s">
        <v>15891</v>
      </c>
      <c r="D38" s="230"/>
      <c r="E38" s="182" t="s">
        <v>15891</v>
      </c>
      <c r="F38" s="182" t="s">
        <v>15891</v>
      </c>
      <c r="G38" s="182" t="s">
        <v>15891</v>
      </c>
      <c r="H38" s="183" t="s">
        <v>15891</v>
      </c>
      <c r="I38" s="184" t="s">
        <v>15891</v>
      </c>
      <c r="J38" s="184" t="s">
        <v>15891</v>
      </c>
      <c r="K38" s="224"/>
      <c r="L38" s="224"/>
      <c r="M38" s="224"/>
      <c r="N38" s="224"/>
      <c r="O38" s="224"/>
      <c r="P38" s="185"/>
      <c r="Q38" s="225"/>
      <c r="R38" s="182" t="str">
        <f ca="1">IF(ISERROR($V38),"",OFFSET('Smelter Look-up'!$C$4,$V38-4,0)&amp;"")</f>
        <v/>
      </c>
      <c r="S38" s="181" t="str">
        <f t="shared" ref="S38:S68" ca="1" si="3">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4">IF(AND(C38="Smelter not listed",OR(LEN(D38)=0,LEN(E38)=0)),1,0)</f>
        <v>0</v>
      </c>
      <c r="AB38" s="228" t="str">
        <f t="shared" ref="AB38:AB68" si="5">B38&amp;C38</f>
        <v/>
      </c>
    </row>
    <row r="39" spans="1:28" s="227" customFormat="1" ht="20">
      <c r="A39" s="181"/>
      <c r="B39" s="182" t="s">
        <v>15891</v>
      </c>
      <c r="C39" s="186" t="s">
        <v>15891</v>
      </c>
      <c r="D39" s="230"/>
      <c r="E39" s="182" t="s">
        <v>15891</v>
      </c>
      <c r="F39" s="182" t="s">
        <v>15891</v>
      </c>
      <c r="G39" s="182" t="s">
        <v>15891</v>
      </c>
      <c r="H39" s="183" t="s">
        <v>15891</v>
      </c>
      <c r="I39" s="184" t="s">
        <v>15891</v>
      </c>
      <c r="J39" s="184" t="s">
        <v>15891</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4"/>
        <v>0</v>
      </c>
      <c r="AB39" s="228" t="str">
        <f t="shared" si="5"/>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ca="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ca="1">IF(AND(C69="Smelter not listed",OR(LEN(D69)=0,LEN(E69)=0)),1,0)</f>
        <v>0</v>
      </c>
      <c r="AB69" s="228" t="str">
        <f>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6">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6"/>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7"/>
        <v>0</v>
      </c>
      <c r="AB71" s="228" t="str">
        <f t="shared" si="8"/>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6"/>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7"/>
        <v>0</v>
      </c>
      <c r="AB72" s="228" t="str">
        <f t="shared" si="8"/>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6"/>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7"/>
        <v>0</v>
      </c>
      <c r="AB73" s="228" t="str">
        <f t="shared" si="8"/>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6"/>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7"/>
        <v>0</v>
      </c>
      <c r="AB74" s="228" t="str">
        <f t="shared" si="8"/>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6"/>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7"/>
        <v>0</v>
      </c>
      <c r="AB75" s="228" t="str">
        <f t="shared" si="8"/>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6"/>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7"/>
        <v>0</v>
      </c>
      <c r="AB76" s="228" t="str">
        <f t="shared" si="8"/>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6"/>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7"/>
        <v>0</v>
      </c>
      <c r="AB77" s="228" t="str">
        <f t="shared" si="8"/>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6"/>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7"/>
        <v>0</v>
      </c>
      <c r="AB78" s="228" t="str">
        <f t="shared" si="8"/>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6"/>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7"/>
        <v>0</v>
      </c>
      <c r="AB79" s="228" t="str">
        <f t="shared" si="8"/>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6"/>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7"/>
        <v>0</v>
      </c>
      <c r="AB80" s="228" t="str">
        <f t="shared" si="8"/>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6"/>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7"/>
        <v>0</v>
      </c>
      <c r="AB81" s="228" t="str">
        <f t="shared" si="8"/>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6"/>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7"/>
        <v>0</v>
      </c>
      <c r="AB82" s="228" t="str">
        <f t="shared" si="8"/>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6"/>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7"/>
        <v>0</v>
      </c>
      <c r="AB83" s="228" t="str">
        <f t="shared" si="8"/>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6"/>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7"/>
        <v>0</v>
      </c>
      <c r="AB84" s="228" t="str">
        <f t="shared" si="8"/>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6"/>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7"/>
        <v>0</v>
      </c>
      <c r="AB85" s="228" t="str">
        <f t="shared" si="8"/>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6"/>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7"/>
        <v>0</v>
      </c>
      <c r="AB86" s="228" t="str">
        <f t="shared" si="8"/>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6"/>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7"/>
        <v>0</v>
      </c>
      <c r="AB87" s="228" t="str">
        <f t="shared" si="8"/>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6"/>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7"/>
        <v>0</v>
      </c>
      <c r="AB88" s="228" t="str">
        <f t="shared" si="8"/>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6"/>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7"/>
        <v>0</v>
      </c>
      <c r="AB89" s="228" t="str">
        <f t="shared" si="8"/>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6"/>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7"/>
        <v>0</v>
      </c>
      <c r="AB90" s="228" t="str">
        <f t="shared" si="8"/>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6"/>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7"/>
        <v>0</v>
      </c>
      <c r="AB91" s="228" t="str">
        <f t="shared" si="8"/>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6"/>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7"/>
        <v>0</v>
      </c>
      <c r="AB92" s="228" t="str">
        <f t="shared" si="8"/>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6"/>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7"/>
        <v>0</v>
      </c>
      <c r="AB93" s="228" t="str">
        <f t="shared" si="8"/>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6"/>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7"/>
        <v>0</v>
      </c>
      <c r="AB94" s="228" t="str">
        <f t="shared" si="8"/>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6"/>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7"/>
        <v>0</v>
      </c>
      <c r="AB95" s="228" t="str">
        <f t="shared" si="8"/>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6"/>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7"/>
        <v>0</v>
      </c>
      <c r="AB96" s="228" t="str">
        <f t="shared" si="8"/>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6"/>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7"/>
        <v>0</v>
      </c>
      <c r="AB97" s="228" t="str">
        <f t="shared" si="8"/>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6"/>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7"/>
        <v>0</v>
      </c>
      <c r="AB98" s="228" t="str">
        <f t="shared" si="8"/>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6"/>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7"/>
        <v>0</v>
      </c>
      <c r="AB99" s="228" t="str">
        <f t="shared" si="8"/>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6"/>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7"/>
        <v>0</v>
      </c>
      <c r="AB100" s="228" t="str">
        <f t="shared" si="8"/>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6"/>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7"/>
        <v>0</v>
      </c>
      <c r="AB101" s="228" t="str">
        <f t="shared" si="8"/>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9">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9"/>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0"/>
        <v>0</v>
      </c>
      <c r="AB103" s="228" t="str">
        <f t="shared" si="11"/>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9"/>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0"/>
        <v>0</v>
      </c>
      <c r="AB104" s="228" t="str">
        <f t="shared" si="11"/>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9"/>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0"/>
        <v>0</v>
      </c>
      <c r="AB105" s="228" t="str">
        <f t="shared" si="11"/>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9"/>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0"/>
        <v>0</v>
      </c>
      <c r="AB106" s="228" t="str">
        <f t="shared" si="11"/>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9"/>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0"/>
        <v>0</v>
      </c>
      <c r="AB107" s="228" t="str">
        <f t="shared" si="11"/>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9"/>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0"/>
        <v>0</v>
      </c>
      <c r="AB108" s="228" t="str">
        <f t="shared" si="11"/>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9"/>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0"/>
        <v>0</v>
      </c>
      <c r="AB109" s="228" t="str">
        <f t="shared" si="11"/>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9"/>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0"/>
        <v>0</v>
      </c>
      <c r="AB110" s="228" t="str">
        <f t="shared" si="11"/>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9"/>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0"/>
        <v>0</v>
      </c>
      <c r="AB111" s="228" t="str">
        <f t="shared" si="11"/>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9"/>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0"/>
        <v>0</v>
      </c>
      <c r="AB112" s="228" t="str">
        <f t="shared" si="11"/>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9"/>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0"/>
        <v>0</v>
      </c>
      <c r="AB113" s="228" t="str">
        <f t="shared" si="11"/>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9"/>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0"/>
        <v>0</v>
      </c>
      <c r="AB114" s="228" t="str">
        <f t="shared" si="11"/>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9"/>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0"/>
        <v>0</v>
      </c>
      <c r="AB115" s="228" t="str">
        <f t="shared" si="11"/>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9"/>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0"/>
        <v>0</v>
      </c>
      <c r="AB116" s="228" t="str">
        <f t="shared" si="11"/>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0"/>
        <v>0</v>
      </c>
      <c r="AB117" s="228" t="str">
        <f t="shared" si="11"/>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0"/>
        <v>0</v>
      </c>
      <c r="AB118" s="228" t="str">
        <f t="shared" si="11"/>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0"/>
        <v>0</v>
      </c>
      <c r="AB119" s="228" t="str">
        <f t="shared" si="11"/>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0"/>
        <v>0</v>
      </c>
      <c r="AB120" s="228" t="str">
        <f t="shared" si="11"/>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0"/>
        <v>0</v>
      </c>
      <c r="AB121" s="228" t="str">
        <f t="shared" si="11"/>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0"/>
        <v>0</v>
      </c>
      <c r="AB122" s="228" t="str">
        <f t="shared" si="11"/>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0"/>
        <v>0</v>
      </c>
      <c r="AB123" s="228" t="str">
        <f t="shared" si="11"/>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0"/>
        <v>0</v>
      </c>
      <c r="AB124" s="228" t="str">
        <f t="shared" si="11"/>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0"/>
        <v>0</v>
      </c>
      <c r="AB125" s="228" t="str">
        <f t="shared" si="11"/>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9"/>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0"/>
        <v>0</v>
      </c>
      <c r="AB126" s="228" t="str">
        <f t="shared" si="11"/>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9"/>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0"/>
        <v>0</v>
      </c>
      <c r="AB127" s="228" t="str">
        <f t="shared" si="11"/>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9"/>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0"/>
        <v>0</v>
      </c>
      <c r="AB128" s="228" t="str">
        <f t="shared" si="11"/>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9"/>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0"/>
        <v>0</v>
      </c>
      <c r="AB129" s="228" t="str">
        <f t="shared" si="11"/>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9"/>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0"/>
        <v>0</v>
      </c>
      <c r="AB130" s="228" t="str">
        <f t="shared" si="11"/>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9"/>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0"/>
        <v>0</v>
      </c>
      <c r="AB131" s="228" t="str">
        <f t="shared" si="11"/>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9"/>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0"/>
        <v>0</v>
      </c>
      <c r="AB132" s="228" t="str">
        <f t="shared" si="11"/>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ca="1">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ca="1">IF(AND(C133="Smelter not listed",OR(LEN(D133)=0,LEN(E133)=0)),1,0)</f>
        <v>0</v>
      </c>
      <c r="AB133" s="228" t="str">
        <f>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3">IF(AND(C134="Smelter not listed",OR(LEN(D134)=0,LEN(E134)=0)),1,0)</f>
        <v>0</v>
      </c>
      <c r="AB134" s="228" t="str">
        <f t="shared" ref="AB134:AB165" si="14">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3"/>
        <v>0</v>
      </c>
      <c r="AB135" s="228" t="str">
        <f t="shared" si="14"/>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3"/>
        <v>0</v>
      </c>
      <c r="AB136" s="228" t="str">
        <f t="shared" si="14"/>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3"/>
        <v>0</v>
      </c>
      <c r="AB137" s="228" t="str">
        <f t="shared" si="14"/>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3"/>
        <v>0</v>
      </c>
      <c r="AB138" s="228" t="str">
        <f t="shared" si="14"/>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3"/>
        <v>0</v>
      </c>
      <c r="AB139" s="228" t="str">
        <f t="shared" si="14"/>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3"/>
        <v>0</v>
      </c>
      <c r="AB140" s="228" t="str">
        <f t="shared" si="14"/>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3"/>
        <v>0</v>
      </c>
      <c r="AB141" s="228" t="str">
        <f t="shared" si="14"/>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3"/>
        <v>0</v>
      </c>
      <c r="AB142" s="228" t="str">
        <f t="shared" si="14"/>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3"/>
        <v>0</v>
      </c>
      <c r="AB143" s="228" t="str">
        <f t="shared" si="14"/>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3"/>
        <v>0</v>
      </c>
      <c r="AB144" s="228" t="str">
        <f t="shared" si="14"/>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3"/>
        <v>0</v>
      </c>
      <c r="AB145" s="228" t="str">
        <f t="shared" si="14"/>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3"/>
        <v>0</v>
      </c>
      <c r="AB146" s="228" t="str">
        <f t="shared" si="14"/>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3"/>
        <v>0</v>
      </c>
      <c r="AB147" s="228" t="str">
        <f t="shared" si="14"/>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3"/>
        <v>0</v>
      </c>
      <c r="AB148" s="228" t="str">
        <f t="shared" si="14"/>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3"/>
        <v>0</v>
      </c>
      <c r="AB149" s="228" t="str">
        <f t="shared" si="14"/>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3"/>
        <v>0</v>
      </c>
      <c r="AB150" s="228" t="str">
        <f t="shared" si="14"/>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3"/>
        <v>0</v>
      </c>
      <c r="AB151" s="228" t="str">
        <f t="shared" si="14"/>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3"/>
        <v>0</v>
      </c>
      <c r="AB152" s="228" t="str">
        <f t="shared" si="14"/>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3"/>
        <v>0</v>
      </c>
      <c r="AB153" s="228" t="str">
        <f t="shared" si="14"/>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3"/>
        <v>0</v>
      </c>
      <c r="AB154" s="228" t="str">
        <f t="shared" si="14"/>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3"/>
        <v>0</v>
      </c>
      <c r="AB155" s="228" t="str">
        <f t="shared" si="14"/>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3"/>
        <v>0</v>
      </c>
      <c r="AB156" s="228" t="str">
        <f t="shared" si="14"/>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3"/>
        <v>0</v>
      </c>
      <c r="AB157" s="228" t="str">
        <f t="shared" si="14"/>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3"/>
        <v>0</v>
      </c>
      <c r="AB158" s="228" t="str">
        <f t="shared" si="14"/>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3"/>
        <v>0</v>
      </c>
      <c r="AB159" s="228" t="str">
        <f t="shared" si="14"/>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3"/>
        <v>0</v>
      </c>
      <c r="AB160" s="228" t="str">
        <f t="shared" si="14"/>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3"/>
        <v>0</v>
      </c>
      <c r="AB161" s="228" t="str">
        <f t="shared" si="14"/>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3"/>
        <v>0</v>
      </c>
      <c r="AB162" s="228" t="str">
        <f t="shared" si="14"/>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3"/>
        <v>0</v>
      </c>
      <c r="AB163" s="228" t="str">
        <f t="shared" si="14"/>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3"/>
        <v>0</v>
      </c>
      <c r="AB164" s="228" t="str">
        <f t="shared" si="14"/>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3"/>
        <v>0</v>
      </c>
      <c r="AB165" s="228" t="str">
        <f t="shared" si="14"/>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1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16">IF(AND(C166="Smelter not listed",OR(LEN(D166)=0,LEN(E166)=0)),1,0)</f>
        <v>0</v>
      </c>
      <c r="AB166" s="228" t="str">
        <f t="shared" ref="AB166:AB196" si="17">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6"/>
        <v>0</v>
      </c>
      <c r="AB167" s="228" t="str">
        <f t="shared" si="17"/>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6"/>
        <v>0</v>
      </c>
      <c r="AB168" s="228" t="str">
        <f t="shared" si="17"/>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6"/>
        <v>0</v>
      </c>
      <c r="AB169" s="228" t="str">
        <f t="shared" si="17"/>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6"/>
        <v>0</v>
      </c>
      <c r="AB170" s="228" t="str">
        <f t="shared" si="17"/>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6"/>
        <v>0</v>
      </c>
      <c r="AB171" s="228" t="str">
        <f t="shared" si="17"/>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16"/>
        <v>0</v>
      </c>
      <c r="AB172" s="228" t="str">
        <f t="shared" si="17"/>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16"/>
        <v>0</v>
      </c>
      <c r="AB173" s="228" t="str">
        <f t="shared" si="17"/>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16"/>
        <v>0</v>
      </c>
      <c r="AB174" s="228" t="str">
        <f t="shared" si="17"/>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16"/>
        <v>0</v>
      </c>
      <c r="AB175" s="228" t="str">
        <f t="shared" si="17"/>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16"/>
        <v>0</v>
      </c>
      <c r="AB176" s="228" t="str">
        <f t="shared" si="17"/>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16"/>
        <v>0</v>
      </c>
      <c r="AB177" s="228" t="str">
        <f t="shared" si="17"/>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16"/>
        <v>0</v>
      </c>
      <c r="AB178" s="228" t="str">
        <f t="shared" si="17"/>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16"/>
        <v>0</v>
      </c>
      <c r="AB179" s="228" t="str">
        <f t="shared" si="17"/>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16"/>
        <v>0</v>
      </c>
      <c r="AB180" s="228" t="str">
        <f t="shared" si="17"/>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16"/>
        <v>0</v>
      </c>
      <c r="AB181" s="228" t="str">
        <f t="shared" si="17"/>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16"/>
        <v>0</v>
      </c>
      <c r="AB182" s="228" t="str">
        <f t="shared" si="17"/>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16"/>
        <v>0</v>
      </c>
      <c r="AB183" s="228" t="str">
        <f t="shared" si="17"/>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16"/>
        <v>0</v>
      </c>
      <c r="AB184" s="228" t="str">
        <f t="shared" si="17"/>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16"/>
        <v>0</v>
      </c>
      <c r="AB185" s="228" t="str">
        <f t="shared" si="17"/>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16"/>
        <v>0</v>
      </c>
      <c r="AB186" s="228" t="str">
        <f t="shared" si="17"/>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16"/>
        <v>0</v>
      </c>
      <c r="AB187" s="228" t="str">
        <f t="shared" si="17"/>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16"/>
        <v>0</v>
      </c>
      <c r="AB188" s="228" t="str">
        <f t="shared" si="17"/>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16"/>
        <v>0</v>
      </c>
      <c r="AB189" s="228" t="str">
        <f t="shared" si="17"/>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16"/>
        <v>0</v>
      </c>
      <c r="AB190" s="228" t="str">
        <f t="shared" si="17"/>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16"/>
        <v>0</v>
      </c>
      <c r="AB191" s="228" t="str">
        <f t="shared" si="17"/>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16"/>
        <v>0</v>
      </c>
      <c r="AB192" s="228" t="str">
        <f t="shared" si="17"/>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6"/>
        <v>0</v>
      </c>
      <c r="AB193" s="228" t="str">
        <f t="shared" si="17"/>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6"/>
        <v>0</v>
      </c>
      <c r="AB194" s="228" t="str">
        <f t="shared" si="17"/>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6"/>
        <v>0</v>
      </c>
      <c r="AB195" s="228" t="str">
        <f t="shared" si="17"/>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6"/>
        <v>0</v>
      </c>
      <c r="AB196" s="228" t="str">
        <f t="shared" si="17"/>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ca="1">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ca="1">IF(AND(C197="Smelter not listed",OR(LEN(D197)=0,LEN(E197)=0)),1,0)</f>
        <v>0</v>
      </c>
      <c r="AB197" s="228" t="str">
        <f>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18">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19">IF(AND(C198="Smelter not listed",OR(LEN(D198)=0,LEN(E198)=0)),1,0)</f>
        <v>0</v>
      </c>
      <c r="AB198" s="228" t="str">
        <f t="shared" ref="AB198:AB229" si="20">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9"/>
        <v>0</v>
      </c>
      <c r="AB199" s="228" t="str">
        <f t="shared" si="20"/>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9"/>
        <v>0</v>
      </c>
      <c r="AB200" s="228" t="str">
        <f t="shared" si="20"/>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9"/>
        <v>0</v>
      </c>
      <c r="AB201" s="228" t="str">
        <f t="shared" si="20"/>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9"/>
        <v>0</v>
      </c>
      <c r="AB202" s="228" t="str">
        <f t="shared" si="20"/>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9"/>
        <v>0</v>
      </c>
      <c r="AB203" s="228" t="str">
        <f t="shared" si="20"/>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9"/>
        <v>0</v>
      </c>
      <c r="AB204" s="228" t="str">
        <f t="shared" si="20"/>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9"/>
        <v>0</v>
      </c>
      <c r="AB205" s="228" t="str">
        <f t="shared" si="20"/>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9"/>
        <v>0</v>
      </c>
      <c r="AB206" s="228" t="str">
        <f t="shared" si="20"/>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9"/>
        <v>0</v>
      </c>
      <c r="AB207" s="228" t="str">
        <f t="shared" si="20"/>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9"/>
        <v>0</v>
      </c>
      <c r="AB208" s="228" t="str">
        <f t="shared" si="20"/>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9"/>
        <v>0</v>
      </c>
      <c r="AB209" s="228" t="str">
        <f t="shared" si="20"/>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9"/>
        <v>0</v>
      </c>
      <c r="AB210" s="228" t="str">
        <f t="shared" si="20"/>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9"/>
        <v>0</v>
      </c>
      <c r="AB211" s="228" t="str">
        <f t="shared" si="20"/>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8"/>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9"/>
        <v>0</v>
      </c>
      <c r="AB212" s="228" t="str">
        <f t="shared" si="20"/>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8"/>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9"/>
        <v>0</v>
      </c>
      <c r="AB213" s="228" t="str">
        <f t="shared" si="20"/>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8"/>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9"/>
        <v>0</v>
      </c>
      <c r="AB214" s="228" t="str">
        <f t="shared" si="20"/>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9"/>
        <v>0</v>
      </c>
      <c r="AB215" s="228" t="str">
        <f t="shared" si="20"/>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9"/>
        <v>0</v>
      </c>
      <c r="AB216" s="228" t="str">
        <f t="shared" si="20"/>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9"/>
        <v>0</v>
      </c>
      <c r="AB217" s="228" t="str">
        <f t="shared" si="20"/>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9"/>
        <v>0</v>
      </c>
      <c r="AB218" s="228" t="str">
        <f t="shared" si="20"/>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9"/>
        <v>0</v>
      </c>
      <c r="AB219" s="228" t="str">
        <f t="shared" si="20"/>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9"/>
        <v>0</v>
      </c>
      <c r="AB220" s="228" t="str">
        <f t="shared" si="20"/>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9"/>
        <v>0</v>
      </c>
      <c r="AB221" s="228" t="str">
        <f t="shared" si="20"/>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9"/>
        <v>0</v>
      </c>
      <c r="AB222" s="228" t="str">
        <f t="shared" si="20"/>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9"/>
        <v>0</v>
      </c>
      <c r="AB223" s="228" t="str">
        <f t="shared" si="20"/>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9"/>
        <v>0</v>
      </c>
      <c r="AB224" s="228" t="str">
        <f t="shared" si="20"/>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9"/>
        <v>0</v>
      </c>
      <c r="AB225" s="228" t="str">
        <f t="shared" si="20"/>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9"/>
        <v>0</v>
      </c>
      <c r="AB226" s="228" t="str">
        <f t="shared" si="20"/>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9"/>
        <v>0</v>
      </c>
      <c r="AB227" s="228" t="str">
        <f t="shared" si="20"/>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9"/>
        <v>0</v>
      </c>
      <c r="AB228" s="228" t="str">
        <f t="shared" si="20"/>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9"/>
        <v>0</v>
      </c>
      <c r="AB229" s="228" t="str">
        <f t="shared" si="20"/>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1">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22">IF(AND(C230="Smelter not listed",OR(LEN(D230)=0,LEN(E230)=0)),1,0)</f>
        <v>0</v>
      </c>
      <c r="AB230" s="228" t="str">
        <f t="shared" ref="AB230:AB260" si="23">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2"/>
        <v>0</v>
      </c>
      <c r="AB231" s="228" t="str">
        <f t="shared" si="23"/>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2"/>
        <v>0</v>
      </c>
      <c r="AB232" s="228" t="str">
        <f t="shared" si="23"/>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2"/>
        <v>0</v>
      </c>
      <c r="AB233" s="228" t="str">
        <f t="shared" si="23"/>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2"/>
        <v>0</v>
      </c>
      <c r="AB234" s="228" t="str">
        <f t="shared" si="23"/>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2"/>
        <v>0</v>
      </c>
      <c r="AB235" s="228" t="str">
        <f t="shared" si="23"/>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2"/>
        <v>0</v>
      </c>
      <c r="AB236" s="228" t="str">
        <f t="shared" si="23"/>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2"/>
        <v>0</v>
      </c>
      <c r="AB237" s="228" t="str">
        <f t="shared" si="23"/>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2"/>
        <v>0</v>
      </c>
      <c r="AB238" s="228" t="str">
        <f t="shared" si="23"/>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2"/>
        <v>0</v>
      </c>
      <c r="AB239" s="228" t="str">
        <f t="shared" si="23"/>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2"/>
        <v>0</v>
      </c>
      <c r="AB240" s="228" t="str">
        <f t="shared" si="23"/>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2"/>
        <v>0</v>
      </c>
      <c r="AB241" s="228" t="str">
        <f t="shared" si="23"/>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2"/>
        <v>0</v>
      </c>
      <c r="AB242" s="228" t="str">
        <f t="shared" si="23"/>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2"/>
        <v>0</v>
      </c>
      <c r="AB243" s="228" t="str">
        <f t="shared" si="23"/>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2"/>
        <v>0</v>
      </c>
      <c r="AB244" s="228" t="str">
        <f t="shared" si="23"/>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1"/>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2"/>
        <v>0</v>
      </c>
      <c r="AB245" s="228" t="str">
        <f t="shared" si="23"/>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1"/>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2"/>
        <v>0</v>
      </c>
      <c r="AB246" s="228" t="str">
        <f t="shared" si="23"/>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1"/>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2"/>
        <v>0</v>
      </c>
      <c r="AB247" s="228" t="str">
        <f t="shared" si="23"/>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1"/>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2"/>
        <v>0</v>
      </c>
      <c r="AB248" s="228" t="str">
        <f t="shared" si="23"/>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1"/>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2"/>
        <v>0</v>
      </c>
      <c r="AB249" s="228" t="str">
        <f t="shared" si="23"/>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1"/>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2"/>
        <v>0</v>
      </c>
      <c r="AB250" s="228" t="str">
        <f t="shared" si="23"/>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1"/>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2"/>
        <v>0</v>
      </c>
      <c r="AB251" s="228" t="str">
        <f t="shared" si="23"/>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2"/>
        <v>0</v>
      </c>
      <c r="AB252" s="228" t="str">
        <f t="shared" si="23"/>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2"/>
        <v>0</v>
      </c>
      <c r="AB253" s="228" t="str">
        <f t="shared" si="23"/>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2"/>
        <v>0</v>
      </c>
      <c r="AB254" s="228" t="str">
        <f t="shared" si="23"/>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2"/>
        <v>0</v>
      </c>
      <c r="AB255" s="228" t="str">
        <f t="shared" si="23"/>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2"/>
        <v>0</v>
      </c>
      <c r="AB256" s="228" t="str">
        <f t="shared" si="23"/>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2"/>
        <v>0</v>
      </c>
      <c r="AB257" s="228" t="str">
        <f t="shared" si="23"/>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2"/>
        <v>0</v>
      </c>
      <c r="AB258" s="228" t="str">
        <f t="shared" si="23"/>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2"/>
        <v>0</v>
      </c>
      <c r="AB259" s="228" t="str">
        <f t="shared" si="23"/>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3"/>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ca="1">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ca="1">IF(AND(C261="Smelter not listed",OR(LEN(D261)=0,LEN(E261)=0)),1,0)</f>
        <v>0</v>
      </c>
      <c r="AB261" s="228" t="str">
        <f>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24">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25">IF(AND(C262="Smelter not listed",OR(LEN(D262)=0,LEN(E262)=0)),1,0)</f>
        <v>0</v>
      </c>
      <c r="AB262" s="228" t="str">
        <f t="shared" ref="AB262:AB293" si="26">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5"/>
        <v>0</v>
      </c>
      <c r="AB263" s="228" t="str">
        <f t="shared" si="26"/>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5"/>
        <v>0</v>
      </c>
      <c r="AB264" s="228" t="str">
        <f t="shared" si="26"/>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5"/>
        <v>0</v>
      </c>
      <c r="AB265" s="228" t="str">
        <f t="shared" si="26"/>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4"/>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5"/>
        <v>0</v>
      </c>
      <c r="AB266" s="228" t="str">
        <f t="shared" si="26"/>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4"/>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5"/>
        <v>0</v>
      </c>
      <c r="AB267" s="228" t="str">
        <f t="shared" si="26"/>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4"/>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5"/>
        <v>0</v>
      </c>
      <c r="AB268" s="228" t="str">
        <f t="shared" si="26"/>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4"/>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5"/>
        <v>0</v>
      </c>
      <c r="AB269" s="228" t="str">
        <f t="shared" si="26"/>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4"/>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5"/>
        <v>0</v>
      </c>
      <c r="AB270" s="228" t="str">
        <f t="shared" si="26"/>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4"/>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5"/>
        <v>0</v>
      </c>
      <c r="AB271" s="228" t="str">
        <f t="shared" si="26"/>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4"/>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5"/>
        <v>0</v>
      </c>
      <c r="AB272" s="228" t="str">
        <f t="shared" si="26"/>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4"/>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5"/>
        <v>0</v>
      </c>
      <c r="AB273" s="228" t="str">
        <f t="shared" si="26"/>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4"/>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5"/>
        <v>0</v>
      </c>
      <c r="AB274" s="228" t="str">
        <f t="shared" si="26"/>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4"/>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5"/>
        <v>0</v>
      </c>
      <c r="AB275" s="228" t="str">
        <f t="shared" si="26"/>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4"/>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5"/>
        <v>0</v>
      </c>
      <c r="AB276" s="228" t="str">
        <f t="shared" si="26"/>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4"/>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5"/>
        <v>0</v>
      </c>
      <c r="AB277" s="228" t="str">
        <f t="shared" si="26"/>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4"/>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5"/>
        <v>0</v>
      </c>
      <c r="AB278" s="228" t="str">
        <f t="shared" si="26"/>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4"/>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5"/>
        <v>0</v>
      </c>
      <c r="AB279" s="228" t="str">
        <f t="shared" si="26"/>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4"/>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5"/>
        <v>0</v>
      </c>
      <c r="AB280" s="228" t="str">
        <f t="shared" si="26"/>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5"/>
        <v>0</v>
      </c>
      <c r="AB281" s="228" t="str">
        <f t="shared" si="26"/>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5"/>
        <v>0</v>
      </c>
      <c r="AB282" s="228" t="str">
        <f t="shared" si="26"/>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5"/>
        <v>0</v>
      </c>
      <c r="AB283" s="228" t="str">
        <f t="shared" si="26"/>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5"/>
        <v>0</v>
      </c>
      <c r="AB284" s="228" t="str">
        <f t="shared" si="26"/>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5"/>
        <v>0</v>
      </c>
      <c r="AB285" s="228" t="str">
        <f t="shared" si="26"/>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5"/>
        <v>0</v>
      </c>
      <c r="AB286" s="228" t="str">
        <f t="shared" si="26"/>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5"/>
        <v>0</v>
      </c>
      <c r="AB287" s="228" t="str">
        <f t="shared" si="26"/>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5"/>
        <v>0</v>
      </c>
      <c r="AB288" s="228" t="str">
        <f t="shared" si="26"/>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5"/>
        <v>0</v>
      </c>
      <c r="AB289" s="228" t="str">
        <f t="shared" si="26"/>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5"/>
        <v>0</v>
      </c>
      <c r="AB290" s="228" t="str">
        <f t="shared" si="26"/>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5"/>
        <v>0</v>
      </c>
      <c r="AB291" s="228" t="str">
        <f t="shared" si="26"/>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5"/>
        <v>0</v>
      </c>
      <c r="AB292" s="228" t="str">
        <f t="shared" si="26"/>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5"/>
        <v>0</v>
      </c>
      <c r="AB293" s="228" t="str">
        <f t="shared" si="26"/>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27">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28">IF(AND(C294="Smelter not listed",OR(LEN(D294)=0,LEN(E294)=0)),1,0)</f>
        <v>0</v>
      </c>
      <c r="AB294" s="228" t="str">
        <f t="shared" ref="AB294:AB324" si="29">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7"/>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8"/>
        <v>0</v>
      </c>
      <c r="AB295" s="228" t="str">
        <f t="shared" si="29"/>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7"/>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8"/>
        <v>0</v>
      </c>
      <c r="AB296" s="228" t="str">
        <f t="shared" si="29"/>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8"/>
        <v>0</v>
      </c>
      <c r="AB297" s="228" t="str">
        <f t="shared" si="29"/>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8"/>
        <v>0</v>
      </c>
      <c r="AB298" s="228" t="str">
        <f t="shared" si="29"/>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8"/>
        <v>0</v>
      </c>
      <c r="AB299" s="228" t="str">
        <f t="shared" si="29"/>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8"/>
        <v>0</v>
      </c>
      <c r="AB300" s="228" t="str">
        <f t="shared" si="29"/>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8"/>
        <v>0</v>
      </c>
      <c r="AB301" s="228" t="str">
        <f t="shared" si="29"/>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8"/>
        <v>0</v>
      </c>
      <c r="AB302" s="228" t="str">
        <f t="shared" si="29"/>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8"/>
        <v>0</v>
      </c>
      <c r="AB303" s="228" t="str">
        <f t="shared" si="29"/>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8"/>
        <v>0</v>
      </c>
      <c r="AB304" s="228" t="str">
        <f t="shared" si="29"/>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8"/>
        <v>0</v>
      </c>
      <c r="AB305" s="228" t="str">
        <f t="shared" si="29"/>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8"/>
        <v>0</v>
      </c>
      <c r="AB306" s="228" t="str">
        <f t="shared" si="29"/>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8"/>
        <v>0</v>
      </c>
      <c r="AB307" s="228" t="str">
        <f t="shared" si="29"/>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8"/>
        <v>0</v>
      </c>
      <c r="AB308" s="228" t="str">
        <f t="shared" si="29"/>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8"/>
        <v>0</v>
      </c>
      <c r="AB309" s="228" t="str">
        <f t="shared" si="29"/>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8"/>
        <v>0</v>
      </c>
      <c r="AB310" s="228" t="str">
        <f t="shared" si="29"/>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8"/>
        <v>0</v>
      </c>
      <c r="AB311" s="228" t="str">
        <f t="shared" si="29"/>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8"/>
        <v>0</v>
      </c>
      <c r="AB312" s="228" t="str">
        <f t="shared" si="29"/>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8"/>
        <v>0</v>
      </c>
      <c r="AB313" s="228" t="str">
        <f t="shared" si="29"/>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8"/>
        <v>0</v>
      </c>
      <c r="AB314" s="228" t="str">
        <f t="shared" si="29"/>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8"/>
        <v>0</v>
      </c>
      <c r="AB315" s="228" t="str">
        <f t="shared" si="29"/>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8"/>
        <v>0</v>
      </c>
      <c r="AB316" s="228" t="str">
        <f t="shared" si="29"/>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8"/>
        <v>0</v>
      </c>
      <c r="AB317" s="228" t="str">
        <f t="shared" si="29"/>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8"/>
        <v>0</v>
      </c>
      <c r="AB318" s="228" t="str">
        <f t="shared" si="29"/>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8"/>
        <v>0</v>
      </c>
      <c r="AB319" s="228" t="str">
        <f t="shared" si="29"/>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8"/>
        <v>0</v>
      </c>
      <c r="AB320" s="228" t="str">
        <f t="shared" si="29"/>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8"/>
        <v>0</v>
      </c>
      <c r="AB321" s="228" t="str">
        <f t="shared" si="29"/>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8"/>
        <v>0</v>
      </c>
      <c r="AB322" s="228" t="str">
        <f t="shared" si="29"/>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28"/>
        <v>0</v>
      </c>
      <c r="AB323" s="228" t="str">
        <f t="shared" si="2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2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28"/>
        <v>0</v>
      </c>
      <c r="AB324" s="228" t="str">
        <f t="shared" si="2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ca="1">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ca="1">IF(AND(C325="Smelter not listed",OR(LEN(D325)=0,LEN(E325)=0)),1,0)</f>
        <v>0</v>
      </c>
      <c r="AB325" s="228" t="str">
        <f>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30">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31">IF(AND(C326="Smelter not listed",OR(LEN(D326)=0,LEN(E326)=0)),1,0)</f>
        <v>0</v>
      </c>
      <c r="AB326" s="228" t="str">
        <f t="shared" ref="AB326:AB357" si="32">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1"/>
        <v>0</v>
      </c>
      <c r="AB347" s="228" t="str">
        <f t="shared" si="32"/>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1"/>
        <v>0</v>
      </c>
      <c r="AB348" s="228" t="str">
        <f t="shared" si="32"/>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1"/>
        <v>0</v>
      </c>
      <c r="AB349" s="228" t="str">
        <f t="shared" si="32"/>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1"/>
        <v>0</v>
      </c>
      <c r="AB353" s="228" t="str">
        <f t="shared" si="32"/>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1"/>
        <v>0</v>
      </c>
      <c r="AB354" s="228" t="str">
        <f t="shared" si="32"/>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1"/>
        <v>0</v>
      </c>
      <c r="AB355" s="228" t="str">
        <f t="shared" si="3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B9D3EC8-4B99-4AE3-9ECA-1E346B72BD4D}"/>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ABRACON LLC.</v>
      </c>
      <c r="C4" s="89" t="str">
        <f t="shared" ref="C4:C12" ca="1" si="0">IF(H4=1,J4,I4)</f>
        <v>Complete</v>
      </c>
      <c r="D4" s="95" t="str">
        <f>IF(H4=1,"Click here to enter Company Name","")</f>
        <v/>
      </c>
      <c r="E4" s="20" t="s">
        <v>1295</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0" t="s">
        <v>1295</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t="shared" ca="1" si="0"/>
        <v>Complete</v>
      </c>
      <c r="D6" s="95" t="str">
        <f>IF(H6=1,"Click here to provide a Description of Scope","")</f>
        <v/>
      </c>
      <c r="E6" s="20" t="s">
        <v>1295</v>
      </c>
      <c r="F6" s="94">
        <f>IF(OR(B5=Declaration!P9,B5=Declaration!Q9,B5=0),0,1)</f>
        <v>0</v>
      </c>
      <c r="G6" s="70">
        <f>IF(B6=0,1,0)</f>
        <v>1</v>
      </c>
      <c r="H6" s="71">
        <f t="shared" ref="H6:H17" si="1">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Leo Santillan</v>
      </c>
      <c r="C7" s="89" t="str">
        <f t="shared" ca="1" si="0"/>
        <v>Complete</v>
      </c>
      <c r="D7" s="95" t="str">
        <f>IF(H7=1,"Click here to enter Contact Name","")</f>
        <v/>
      </c>
      <c r="E7" s="20" t="s">
        <v>1295</v>
      </c>
      <c r="F7" s="93">
        <v>1</v>
      </c>
      <c r="G7" s="70">
        <f>IF(B7=0,1,0)</f>
        <v>0</v>
      </c>
      <c r="H7" s="71">
        <f t="shared" si="1"/>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leonel.santillan@abracon.com</v>
      </c>
      <c r="C8" s="89" t="str">
        <f t="shared" ca="1" si="0"/>
        <v>Complete</v>
      </c>
      <c r="D8" s="95" t="str">
        <f>IF(H8=1,"Click here to enter Email-Contact","")</f>
        <v/>
      </c>
      <c r="E8" s="20" t="s">
        <v>1295</v>
      </c>
      <c r="F8" s="93">
        <v>1</v>
      </c>
      <c r="G8" s="70">
        <f>IF(ISNUMBER(SEARCH("@",B8)),0,1)</f>
        <v>0</v>
      </c>
      <c r="H8" s="71">
        <f t="shared" si="1"/>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512-371-6159</v>
      </c>
      <c r="C9" s="89" t="str">
        <f t="shared" ca="1" si="0"/>
        <v>Complete</v>
      </c>
      <c r="D9" s="95" t="str">
        <f>IF(H9=1,"Click here to enter Phone-Contact","")</f>
        <v/>
      </c>
      <c r="E9" s="20" t="s">
        <v>1295</v>
      </c>
      <c r="F9" s="93">
        <v>1</v>
      </c>
      <c r="G9" s="70">
        <f>IF(B9=0,1,0)</f>
        <v>0</v>
      </c>
      <c r="H9" s="71">
        <f t="shared" si="1"/>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Reuben Quintanilla</v>
      </c>
      <c r="C10" s="89" t="str">
        <f t="shared" ca="1" si="0"/>
        <v>Complete</v>
      </c>
      <c r="D10" s="95" t="str">
        <f>IF(H10=1,"Click here to enter an Authorized Company Representative's name","")</f>
        <v/>
      </c>
      <c r="E10" s="20" t="s">
        <v>1295</v>
      </c>
      <c r="F10" s="93">
        <v>1</v>
      </c>
      <c r="G10" s="70">
        <f>IF(B10=0,1,0)</f>
        <v>0</v>
      </c>
      <c r="H10" s="71">
        <f t="shared" si="1"/>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reuben.quintanilla@abracon.com</v>
      </c>
      <c r="C11" s="89" t="str">
        <f t="shared" ca="1" si="0"/>
        <v>Complete</v>
      </c>
      <c r="D11" s="95" t="str">
        <f>IF(H11=1,"Click here to enter Representative's email","")</f>
        <v/>
      </c>
      <c r="E11" s="20" t="s">
        <v>1295</v>
      </c>
      <c r="F11" s="93">
        <v>1</v>
      </c>
      <c r="G11" s="70">
        <f>IF(ISNUMBER(SEARCH("@",B11)),0,1)</f>
        <v>0</v>
      </c>
      <c r="H11" s="71">
        <f t="shared" si="1"/>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45408</v>
      </c>
      <c r="C12" s="89" t="str">
        <f t="shared" ca="1" si="0"/>
        <v>Complete</v>
      </c>
      <c r="D12" s="95" t="str">
        <f>IF(H12=1,"Click here to enter Date of Completion","")</f>
        <v/>
      </c>
      <c r="E12" s="20" t="s">
        <v>1295</v>
      </c>
      <c r="F12" s="93">
        <v>1</v>
      </c>
      <c r="G12" s="70">
        <f>IF(B12=0,1,0)</f>
        <v>0</v>
      </c>
      <c r="H12" s="71">
        <f t="shared" si="1"/>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1"/>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IF(B24=0,1,0)</f>
        <v>0</v>
      </c>
      <c r="H24" s="71">
        <f>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IF(B29=0,1,0)</f>
        <v>0</v>
      </c>
      <c r="H29" s="71">
        <f>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0" t="s">
        <v>1295</v>
      </c>
      <c r="F54" s="94">
        <f>IF(SUM(F$24:F$27)=0,0,1)</f>
        <v>1</v>
      </c>
      <c r="G54" s="70">
        <f>IF(B54=0,1,0)</f>
        <v>0</v>
      </c>
      <c r="H54" s="71">
        <f t="shared" ref="H54:H60" si="3">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0" t="s">
        <v>1295</v>
      </c>
      <c r="F55" s="94">
        <f>F$54</f>
        <v>1</v>
      </c>
      <c r="G55" s="70">
        <f>IF(B55=0,1,0)</f>
        <v>0</v>
      </c>
      <c r="H55" s="71">
        <f t="shared" si="3"/>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http://www.abracon.com/Support/ABRACON%20Letter%20of%20Non-use%20of%20Conflict%20Minerals.pdf</v>
      </c>
      <c r="C56" s="89" t="str">
        <f t="shared" ca="1" si="2"/>
        <v>Complete</v>
      </c>
      <c r="D56" s="95" t="str">
        <f>IF(H56=1,"Click here to specify URL for question (B)","")</f>
        <v/>
      </c>
      <c r="E56" s="20"/>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0" t="s">
        <v>1295</v>
      </c>
      <c r="F57" s="94">
        <f>F$54</f>
        <v>1</v>
      </c>
      <c r="G57" s="70">
        <f>IF(B57=0,1,0)</f>
        <v>0</v>
      </c>
      <c r="H57" s="71">
        <f t="shared" si="3"/>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2"/>
        <v>Complete</v>
      </c>
      <c r="D58" s="95" t="str">
        <f>IF(H58=1,"Click here to answer question (D)","")</f>
        <v/>
      </c>
      <c r="E58" s="20" t="s">
        <v>1295</v>
      </c>
      <c r="F58" s="94">
        <f>F$54</f>
        <v>1</v>
      </c>
      <c r="G58" s="70">
        <f>IF(B58=0,1,0)</f>
        <v>0</v>
      </c>
      <c r="H58" s="71">
        <f t="shared" si="3"/>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0" t="s">
        <v>1295</v>
      </c>
      <c r="F59" s="94">
        <f>F$54</f>
        <v>1</v>
      </c>
      <c r="G59" s="70">
        <f>IF(B59=0,1,0)</f>
        <v>0</v>
      </c>
      <c r="H59" s="71">
        <f t="shared" si="3"/>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0" t="s">
        <v>1295</v>
      </c>
      <c r="F60" s="94">
        <f>F$54</f>
        <v>1</v>
      </c>
      <c r="G60" s="70">
        <f>IF(B60=0,1,0)</f>
        <v>0</v>
      </c>
      <c r="H60" s="71">
        <f t="shared" si="3"/>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0" t="s">
        <v>1295</v>
      </c>
      <c r="F62" s="94">
        <f>F$54</f>
        <v>1</v>
      </c>
      <c r="G62" s="70">
        <f>IF(B62=0,1,0)</f>
        <v>0</v>
      </c>
      <c r="H62" s="71">
        <f t="shared" ref="H62:H69" si="5">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4"/>
        <v>Complete</v>
      </c>
      <c r="D63" s="95" t="str">
        <f>IF(H63=1,"Click here to answer question (H)","")</f>
        <v/>
      </c>
      <c r="E63" s="20" t="s">
        <v>1295</v>
      </c>
      <c r="F63" s="94">
        <f>F$54</f>
        <v>1</v>
      </c>
      <c r="G63" s="70">
        <f>IF(B63=0,1,0)</f>
        <v>0</v>
      </c>
      <c r="H63" s="71">
        <f t="shared" si="5"/>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1295</v>
      </c>
      <c r="F64" s="94">
        <f>IF(B5=Declaration!Q9,1,0)</f>
        <v>0</v>
      </c>
      <c r="G64" s="70" cm="1">
        <f t="array" aca="1" ref="G64" ca="1">IF(INDIRECT("'Product List'!B6")="",1,0)</f>
        <v>1</v>
      </c>
      <c r="H64" s="71">
        <f t="shared" ca="1" si="5"/>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4"/>
        <v>Complete</v>
      </c>
      <c r="D65" s="95" t="str">
        <f>IF(H65=0,"","Click here to provide smelter information")</f>
        <v/>
      </c>
      <c r="E65" s="20" t="s">
        <v>1295</v>
      </c>
      <c r="F65" s="94">
        <f>F24</f>
        <v>1</v>
      </c>
      <c r="G65" s="70">
        <f>IF(AND(COUNTIF(SmelterIdetifiedForMetal,"Tantalum")&gt;0,COUNTIF('Smelter List'!AB$5:AB$2504,"Tantalum?*")&gt;0),0,1)</f>
        <v>0</v>
      </c>
      <c r="H65" s="71">
        <f t="shared" si="5"/>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4"/>
        <v>Complete</v>
      </c>
      <c r="D66" s="95" t="str">
        <f>IF(H66=0,"","Click here to provide smelter information")</f>
        <v/>
      </c>
      <c r="E66" s="20" t="s">
        <v>797</v>
      </c>
      <c r="F66" s="94">
        <f>F25</f>
        <v>1</v>
      </c>
      <c r="G66" s="70">
        <f>IF(AND(COUNTIF(SmelterIdetifiedForMetal,"Tin")&gt;0,COUNTIF('Smelter List'!AB$5:AB$2504,"Tin?*")&gt;0),0,1)</f>
        <v>0</v>
      </c>
      <c r="H66" s="71">
        <f t="shared" si="5"/>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4"/>
        <v>Complete</v>
      </c>
      <c r="D67" s="95" t="str">
        <f>IF(H67=0,"","Click here to provide smelter information")</f>
        <v/>
      </c>
      <c r="E67" s="20" t="s">
        <v>797</v>
      </c>
      <c r="F67" s="94">
        <f>F26</f>
        <v>1</v>
      </c>
      <c r="G67" s="70">
        <f>IF(AND(COUNTIF(SmelterIdetifiedForMetal,"Gold")&gt;0,COUNTIF('Smelter List'!AB$5:AB$2504,"Gold?*")&gt;0),0,1)</f>
        <v>0</v>
      </c>
      <c r="H67" s="71">
        <f t="shared" si="5"/>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4"/>
        <v>Complete</v>
      </c>
      <c r="D68" s="95" t="str">
        <f>IF(H68=0,"","Click here to provide smelter information")</f>
        <v/>
      </c>
      <c r="E68" s="20" t="s">
        <v>797</v>
      </c>
      <c r="F68" s="94">
        <f>F27</f>
        <v>1</v>
      </c>
      <c r="G68" s="70">
        <f>IF(AND(COUNTIF(SmelterIdetifiedForMetal,"Tungsten")&gt;0,COUNTIF('Smelter List'!AB$5:AB$2504,"Tungsten?*")&gt;0),0,1)</f>
        <v>0</v>
      </c>
      <c r="H68" s="71">
        <f t="shared" si="5"/>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5"/>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A5&amp;B5</f>
        <v>Gold8853 S.p.A.</v>
      </c>
      <c r="K5" s="231" t="str">
        <f>A5&amp;B5</f>
        <v>Gold8853 S.p.A.</v>
      </c>
    </row>
    <row r="6" spans="1:11" ht="13.5" customHeight="1">
      <c r="A6" s="209" t="s">
        <v>1119</v>
      </c>
      <c r="B6" s="209" t="s">
        <v>15403</v>
      </c>
      <c r="C6" s="209" t="s">
        <v>15403</v>
      </c>
      <c r="D6" s="209" t="s">
        <v>1083</v>
      </c>
      <c r="E6" s="209" t="s">
        <v>15404</v>
      </c>
      <c r="F6" s="283" t="s">
        <v>13217</v>
      </c>
      <c r="H6" s="209" t="s">
        <v>15405</v>
      </c>
      <c r="I6" s="209" t="s">
        <v>2801</v>
      </c>
      <c r="J6" s="231" t="str">
        <f>A6&amp;B6</f>
        <v>GoldABC Refinery Pty Ltd.</v>
      </c>
      <c r="K6" s="231" t="str">
        <f>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0">A7&amp;B7</f>
        <v>GoldAbington Reldan Metals, LLC</v>
      </c>
      <c r="K7" s="231" t="str">
        <f t="shared" ref="K7:K70" si="1">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0"/>
        <v>GoldAdvanced Chemical Company</v>
      </c>
      <c r="K8" s="231" t="str">
        <f t="shared" si="1"/>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0"/>
        <v>GoldAfrican Gold Refinery</v>
      </c>
      <c r="K9" s="231" t="str">
        <f t="shared" si="1"/>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0"/>
        <v>GoldAgosi AG</v>
      </c>
      <c r="K10" s="231" t="str">
        <f t="shared" si="1"/>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0"/>
        <v>GoldAGR (Perth Mint Australia)</v>
      </c>
      <c r="K11" s="231" t="str">
        <f t="shared" si="1"/>
        <v>GoldAGR (Perth Mint Australia)</v>
      </c>
    </row>
    <row r="12" spans="1:11">
      <c r="A12" s="209" t="s">
        <v>1119</v>
      </c>
      <c r="B12" s="209" t="s">
        <v>1673</v>
      </c>
      <c r="C12" s="209" t="s">
        <v>2471</v>
      </c>
      <c r="D12" s="209" t="s">
        <v>1083</v>
      </c>
      <c r="E12" s="209" t="s">
        <v>735</v>
      </c>
      <c r="F12" s="283" t="s">
        <v>13217</v>
      </c>
      <c r="H12" s="209" t="s">
        <v>1671</v>
      </c>
      <c r="I12" s="209" t="s">
        <v>1672</v>
      </c>
      <c r="J12" s="231" t="str">
        <f t="shared" si="0"/>
        <v>GoldAGR Mathey</v>
      </c>
      <c r="K12" s="231" t="str">
        <f t="shared" si="1"/>
        <v>GoldAGR Mathey</v>
      </c>
    </row>
    <row r="13" spans="1:11">
      <c r="A13" s="209" t="s">
        <v>1119</v>
      </c>
      <c r="B13" s="209" t="s">
        <v>2124</v>
      </c>
      <c r="C13" s="209" t="s">
        <v>2124</v>
      </c>
      <c r="D13" s="209" t="s">
        <v>1098</v>
      </c>
      <c r="E13" s="209" t="s">
        <v>646</v>
      </c>
      <c r="F13" s="283" t="s">
        <v>13217</v>
      </c>
      <c r="H13" s="209" t="s">
        <v>1533</v>
      </c>
      <c r="I13" s="209" t="s">
        <v>1534</v>
      </c>
      <c r="J13" s="231" t="str">
        <f t="shared" si="0"/>
        <v>GoldAida Chemical Industries Co., Ltd.</v>
      </c>
      <c r="K13" s="231" t="str">
        <f t="shared" si="1"/>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0"/>
        <v>GoldAKITA Seiren</v>
      </c>
      <c r="K14" s="231" t="str">
        <f t="shared" si="1"/>
        <v>GoldAKITA Seiren</v>
      </c>
    </row>
    <row r="15" spans="1:11">
      <c r="A15" s="209" t="s">
        <v>1119</v>
      </c>
      <c r="B15" s="209" t="s">
        <v>2472</v>
      </c>
      <c r="C15" s="209" t="s">
        <v>1692</v>
      </c>
      <c r="D15" s="209" t="s">
        <v>1082</v>
      </c>
      <c r="E15" s="209" t="s">
        <v>1693</v>
      </c>
      <c r="F15" s="283" t="s">
        <v>13217</v>
      </c>
      <c r="H15" s="209" t="s">
        <v>1694</v>
      </c>
      <c r="I15" s="209" t="s">
        <v>2555</v>
      </c>
      <c r="J15" s="231" t="str">
        <f t="shared" si="0"/>
        <v>GoldAl Etihad Gold LLC</v>
      </c>
      <c r="K15" s="231" t="str">
        <f t="shared" si="1"/>
        <v>GoldAl Etihad Gold LLC</v>
      </c>
    </row>
    <row r="16" spans="1:11">
      <c r="A16" s="209" t="s">
        <v>1119</v>
      </c>
      <c r="B16" s="209" t="s">
        <v>1692</v>
      </c>
      <c r="C16" s="209" t="s">
        <v>1692</v>
      </c>
      <c r="D16" s="209" t="s">
        <v>1082</v>
      </c>
      <c r="E16" s="209" t="s">
        <v>1693</v>
      </c>
      <c r="F16" s="283" t="s">
        <v>13217</v>
      </c>
      <c r="H16" s="209" t="s">
        <v>1694</v>
      </c>
      <c r="I16" s="209" t="s">
        <v>2555</v>
      </c>
      <c r="J16" s="231" t="str">
        <f t="shared" si="0"/>
        <v>GoldAl Etihad Gold Refinery DMCC</v>
      </c>
      <c r="K16" s="231" t="str">
        <f t="shared" si="1"/>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0"/>
        <v>GoldAlbino Mountinho Lda.</v>
      </c>
      <c r="K17" s="231" t="str">
        <f t="shared" si="1"/>
        <v>GoldAlbino Mountinho Lda.</v>
      </c>
    </row>
    <row r="18" spans="1:11">
      <c r="A18" s="209" t="s">
        <v>1119</v>
      </c>
      <c r="B18" s="209" t="s">
        <v>15017</v>
      </c>
      <c r="C18" s="209" t="s">
        <v>15017</v>
      </c>
      <c r="D18" s="209" t="s">
        <v>2415</v>
      </c>
      <c r="E18" s="209" t="s">
        <v>15018</v>
      </c>
      <c r="F18" s="283" t="s">
        <v>13217</v>
      </c>
      <c r="H18" s="209" t="s">
        <v>15099</v>
      </c>
      <c r="I18" s="209" t="s">
        <v>1627</v>
      </c>
      <c r="J18" s="231" t="str">
        <f t="shared" si="0"/>
        <v>GoldAlexy Metals</v>
      </c>
      <c r="K18" s="231" t="str">
        <f t="shared" si="1"/>
        <v>GoldAlexy Metals</v>
      </c>
    </row>
    <row r="19" spans="1:11">
      <c r="A19" s="209" t="s">
        <v>1119</v>
      </c>
      <c r="B19" s="209" t="s">
        <v>50</v>
      </c>
      <c r="C19" s="209" t="s">
        <v>15406</v>
      </c>
      <c r="D19" s="209" t="s">
        <v>1091</v>
      </c>
      <c r="E19" s="209" t="s">
        <v>647</v>
      </c>
      <c r="F19" s="283" t="s">
        <v>13217</v>
      </c>
      <c r="H19" s="209" t="s">
        <v>1535</v>
      </c>
      <c r="I19" s="209" t="s">
        <v>1536</v>
      </c>
      <c r="J19" s="231" t="str">
        <f t="shared" si="0"/>
        <v>GoldAllgemeine Gold-und Silberscheideanstalt A.G.</v>
      </c>
      <c r="K19" s="231" t="str">
        <f t="shared" si="1"/>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0"/>
        <v>GoldAlmalyk Mining and Metallurgical Complex (AMMC)</v>
      </c>
      <c r="K20" s="231" t="str">
        <f t="shared" si="1"/>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0"/>
        <v>GoldAmagasaki Factory, Hyogo Prefecture, Japan</v>
      </c>
      <c r="K21" s="231" t="str">
        <f t="shared" si="1"/>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0"/>
        <v>GoldAngloGold Ashanti Brazil</v>
      </c>
      <c r="K22" s="231" t="str">
        <f t="shared" si="1"/>
        <v>GoldAngloGold Ashanti Brazil</v>
      </c>
    </row>
    <row r="23" spans="1:11">
      <c r="A23" s="209" t="s">
        <v>1119</v>
      </c>
      <c r="B23" s="209" t="s">
        <v>12406</v>
      </c>
      <c r="C23" s="209" t="s">
        <v>12406</v>
      </c>
      <c r="D23" s="209" t="s">
        <v>1086</v>
      </c>
      <c r="E23" s="209" t="s">
        <v>649</v>
      </c>
      <c r="F23" s="283" t="s">
        <v>13217</v>
      </c>
      <c r="H23" s="209" t="s">
        <v>1539</v>
      </c>
      <c r="I23" s="209" t="s">
        <v>1540</v>
      </c>
      <c r="J23" s="231" t="str">
        <f t="shared" si="0"/>
        <v>GoldAngloGold Ashanti Corrego do Sitio Mineracao</v>
      </c>
      <c r="K23" s="231" t="str">
        <f t="shared" si="1"/>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0"/>
        <v>GoldAngloGold Ashanti Córrego do Sítio Mineração</v>
      </c>
      <c r="K24" s="231" t="str">
        <f t="shared" si="1"/>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0"/>
        <v>GoldAnhui Tongling Nonferrous Metal Mining Co., Ltd.</v>
      </c>
      <c r="K25" s="231" t="str">
        <f t="shared" si="1"/>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0"/>
        <v>GoldANZ (Perth Mint 4N)</v>
      </c>
      <c r="K26" s="231" t="str">
        <f t="shared" si="1"/>
        <v>GoldANZ (Perth Mint 4N)</v>
      </c>
    </row>
    <row r="27" spans="1:11">
      <c r="A27" s="209" t="s">
        <v>1119</v>
      </c>
      <c r="B27" s="209" t="s">
        <v>13760</v>
      </c>
      <c r="C27" s="209" t="s">
        <v>2471</v>
      </c>
      <c r="D27" s="209" t="s">
        <v>1083</v>
      </c>
      <c r="E27" s="209" t="s">
        <v>735</v>
      </c>
      <c r="F27" s="283" t="s">
        <v>13217</v>
      </c>
      <c r="H27" s="209" t="s">
        <v>1671</v>
      </c>
      <c r="I27" s="209" t="s">
        <v>1672</v>
      </c>
      <c r="J27" s="231" t="str">
        <f t="shared" si="0"/>
        <v>GoldANZ Bank</v>
      </c>
      <c r="K27" s="231" t="str">
        <f t="shared" si="1"/>
        <v>GoldANZ Bank</v>
      </c>
    </row>
    <row r="28" spans="1:11">
      <c r="A28" s="209" t="s">
        <v>1119</v>
      </c>
      <c r="B28" s="209" t="s">
        <v>2267</v>
      </c>
      <c r="C28" s="209" t="s">
        <v>2267</v>
      </c>
      <c r="D28" s="209" t="s">
        <v>1088</v>
      </c>
      <c r="E28" s="209" t="s">
        <v>650</v>
      </c>
      <c r="F28" s="283" t="s">
        <v>13217</v>
      </c>
      <c r="H28" s="209" t="s">
        <v>1541</v>
      </c>
      <c r="I28" s="209" t="s">
        <v>1542</v>
      </c>
      <c r="J28" s="231" t="str">
        <f t="shared" si="0"/>
        <v>GoldArgor-Heraeus S.A.</v>
      </c>
      <c r="K28" s="231" t="str">
        <f t="shared" si="1"/>
        <v>GoldArgor-Heraeus S.A.</v>
      </c>
    </row>
    <row r="29" spans="1:11">
      <c r="A29" s="209" t="s">
        <v>1119</v>
      </c>
      <c r="B29" s="209" t="s">
        <v>2268</v>
      </c>
      <c r="C29" s="209" t="s">
        <v>2268</v>
      </c>
      <c r="D29" s="209" t="s">
        <v>1098</v>
      </c>
      <c r="E29" s="209" t="s">
        <v>651</v>
      </c>
      <c r="F29" s="283" t="s">
        <v>13217</v>
      </c>
      <c r="H29" s="209" t="s">
        <v>1543</v>
      </c>
      <c r="I29" s="209" t="s">
        <v>1544</v>
      </c>
      <c r="J29" s="231" t="str">
        <f t="shared" si="0"/>
        <v>GoldAsahi Pretec Corp.</v>
      </c>
      <c r="K29" s="231" t="str">
        <f t="shared" si="1"/>
        <v>GoldAsahi Pretec Corp.</v>
      </c>
    </row>
    <row r="30" spans="1:11">
      <c r="A30" s="209" t="s">
        <v>1119</v>
      </c>
      <c r="B30" s="209" t="s">
        <v>2269</v>
      </c>
      <c r="C30" s="209" t="s">
        <v>2269</v>
      </c>
      <c r="D30" s="209" t="s">
        <v>1087</v>
      </c>
      <c r="E30" s="209" t="s">
        <v>683</v>
      </c>
      <c r="F30" s="283" t="s">
        <v>13217</v>
      </c>
      <c r="H30" s="209" t="s">
        <v>1594</v>
      </c>
      <c r="I30" s="209" t="s">
        <v>1595</v>
      </c>
      <c r="J30" s="231" t="str">
        <f t="shared" si="0"/>
        <v>GoldAsahi Refining Canada Ltd.</v>
      </c>
      <c r="K30" s="231" t="str">
        <f t="shared" si="1"/>
        <v>GoldAsahi Refining Canada Ltd.</v>
      </c>
    </row>
    <row r="31" spans="1:11">
      <c r="A31" s="209" t="s">
        <v>1119</v>
      </c>
      <c r="B31" s="209" t="s">
        <v>2184</v>
      </c>
      <c r="C31" s="209" t="s">
        <v>2184</v>
      </c>
      <c r="D31" s="209" t="s">
        <v>2415</v>
      </c>
      <c r="E31" s="209" t="s">
        <v>682</v>
      </c>
      <c r="F31" s="283" t="s">
        <v>13217</v>
      </c>
      <c r="H31" s="209" t="s">
        <v>1591</v>
      </c>
      <c r="I31" s="209" t="s">
        <v>1592</v>
      </c>
      <c r="J31" s="231" t="str">
        <f t="shared" si="0"/>
        <v>GoldAsahi Refining USA Inc.</v>
      </c>
      <c r="K31" s="231" t="str">
        <f t="shared" si="1"/>
        <v>GoldAsahi Refining USA Inc.</v>
      </c>
    </row>
    <row r="32" spans="1:11">
      <c r="A32" s="209" t="s">
        <v>1119</v>
      </c>
      <c r="B32" s="209" t="s">
        <v>2125</v>
      </c>
      <c r="C32" s="209" t="s">
        <v>2125</v>
      </c>
      <c r="D32" s="209" t="s">
        <v>1098</v>
      </c>
      <c r="E32" s="209" t="s">
        <v>652</v>
      </c>
      <c r="F32" s="283" t="s">
        <v>13217</v>
      </c>
      <c r="H32" s="209" t="s">
        <v>1546</v>
      </c>
      <c r="I32" s="209" t="s">
        <v>1547</v>
      </c>
      <c r="J32" s="231" t="str">
        <f t="shared" si="0"/>
        <v>GoldAsaka Riken Co., Ltd.</v>
      </c>
      <c r="K32" s="231" t="str">
        <f t="shared" si="1"/>
        <v>GoldAsaka Riken Co., Ltd.</v>
      </c>
    </row>
    <row r="33" spans="1:11">
      <c r="A33" s="209" t="s">
        <v>1119</v>
      </c>
      <c r="B33" s="209" t="s">
        <v>1212</v>
      </c>
      <c r="C33" s="209" t="s">
        <v>621</v>
      </c>
      <c r="D33" s="209" t="s">
        <v>879</v>
      </c>
      <c r="E33" s="209" t="s">
        <v>653</v>
      </c>
      <c r="F33" s="283" t="s">
        <v>13217</v>
      </c>
      <c r="H33" s="209" t="s">
        <v>1548</v>
      </c>
      <c r="I33" s="209" t="s">
        <v>11246</v>
      </c>
      <c r="J33" s="231" t="str">
        <f t="shared" si="0"/>
        <v>GoldATAkulche</v>
      </c>
      <c r="K33" s="231" t="str">
        <f t="shared" si="1"/>
        <v>GoldATAkulche</v>
      </c>
    </row>
    <row r="34" spans="1:11">
      <c r="A34" s="209" t="s">
        <v>1119</v>
      </c>
      <c r="B34" s="209" t="s">
        <v>621</v>
      </c>
      <c r="C34" s="209" t="s">
        <v>621</v>
      </c>
      <c r="D34" s="209" t="s">
        <v>879</v>
      </c>
      <c r="E34" s="209" t="s">
        <v>653</v>
      </c>
      <c r="F34" s="283" t="s">
        <v>13217</v>
      </c>
      <c r="H34" s="209" t="s">
        <v>1548</v>
      </c>
      <c r="I34" s="209" t="s">
        <v>11246</v>
      </c>
      <c r="J34" s="231" t="str">
        <f t="shared" si="0"/>
        <v>GoldAtasay Kuyumculuk Sanayi Ve Ticaret A.S.</v>
      </c>
      <c r="K34" s="231" t="str">
        <f t="shared" si="1"/>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0"/>
        <v>GoldAttero Recycling Pvt Ltd</v>
      </c>
      <c r="K35" s="231" t="str">
        <f t="shared" si="1"/>
        <v>GoldAttero Recycling Pvt Ltd</v>
      </c>
    </row>
    <row r="36" spans="1:11">
      <c r="A36" s="209" t="s">
        <v>1119</v>
      </c>
      <c r="B36" s="209" t="s">
        <v>2270</v>
      </c>
      <c r="C36" s="209" t="s">
        <v>2270</v>
      </c>
      <c r="D36" s="209" t="s">
        <v>883</v>
      </c>
      <c r="E36" s="209" t="s">
        <v>2271</v>
      </c>
      <c r="F36" s="283" t="s">
        <v>13217</v>
      </c>
      <c r="H36" s="209" t="s">
        <v>2272</v>
      </c>
      <c r="I36" s="209" t="s">
        <v>1636</v>
      </c>
      <c r="J36" s="231" t="str">
        <f t="shared" si="0"/>
        <v>GoldAU Traders and Refiners</v>
      </c>
      <c r="K36" s="231" t="str">
        <f t="shared" si="1"/>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0"/>
        <v>GoldAugmont Enterprises Private Limited</v>
      </c>
      <c r="K37" s="231" t="str">
        <f t="shared" si="1"/>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0"/>
        <v>GoldAurubis AG</v>
      </c>
      <c r="K38" s="231" t="str">
        <f t="shared" si="1"/>
        <v>GoldAurubis AG</v>
      </c>
    </row>
    <row r="39" spans="1:11">
      <c r="A39" s="209" t="s">
        <v>1119</v>
      </c>
      <c r="B39" s="209" t="s">
        <v>2474</v>
      </c>
      <c r="C39" s="209" t="s">
        <v>2274</v>
      </c>
      <c r="D39" s="209" t="s">
        <v>1096</v>
      </c>
      <c r="E39" s="209" t="s">
        <v>2275</v>
      </c>
      <c r="F39" s="283" t="s">
        <v>13217</v>
      </c>
      <c r="H39" s="209" t="s">
        <v>2329</v>
      </c>
      <c r="I39" s="209" t="s">
        <v>15547</v>
      </c>
      <c r="J39" s="231" t="str">
        <f t="shared" si="0"/>
        <v>GoldBALORE REFINERSGA</v>
      </c>
      <c r="K39" s="231" t="str">
        <f t="shared" si="1"/>
        <v>GoldBALORE REFINERSGA</v>
      </c>
    </row>
    <row r="40" spans="1:11">
      <c r="A40" s="209" t="s">
        <v>1119</v>
      </c>
      <c r="B40" s="209" t="s">
        <v>2274</v>
      </c>
      <c r="C40" s="209" t="s">
        <v>2274</v>
      </c>
      <c r="D40" s="209" t="s">
        <v>1096</v>
      </c>
      <c r="E40" s="209" t="s">
        <v>2275</v>
      </c>
      <c r="F40" s="283" t="s">
        <v>13217</v>
      </c>
      <c r="H40" s="209" t="s">
        <v>2329</v>
      </c>
      <c r="I40" s="209" t="s">
        <v>15547</v>
      </c>
      <c r="J40" s="231" t="str">
        <f t="shared" si="0"/>
        <v>GoldBangalore Refinery</v>
      </c>
      <c r="K40" s="231" t="str">
        <f t="shared" si="1"/>
        <v>GoldBangalore Refinery</v>
      </c>
    </row>
    <row r="41" spans="1:11">
      <c r="A41" s="209" t="s">
        <v>1119</v>
      </c>
      <c r="B41" s="209" t="s">
        <v>2475</v>
      </c>
      <c r="C41" s="209" t="s">
        <v>2274</v>
      </c>
      <c r="D41" s="209" t="s">
        <v>1096</v>
      </c>
      <c r="E41" s="209" t="s">
        <v>2275</v>
      </c>
      <c r="F41" s="283" t="s">
        <v>13217</v>
      </c>
      <c r="H41" s="209" t="s">
        <v>2329</v>
      </c>
      <c r="I41" s="209" t="s">
        <v>15547</v>
      </c>
      <c r="J41" s="231" t="str">
        <f t="shared" si="0"/>
        <v>GoldBangalore Refinery Pvt Ltd</v>
      </c>
      <c r="K41" s="231" t="str">
        <f t="shared" si="1"/>
        <v>GoldBangalore Refinery Pvt Ltd</v>
      </c>
    </row>
    <row r="42" spans="1:11">
      <c r="A42" s="209" t="s">
        <v>1119</v>
      </c>
      <c r="B42" s="209" t="s">
        <v>894</v>
      </c>
      <c r="C42" s="209" t="s">
        <v>894</v>
      </c>
      <c r="D42" s="209" t="s">
        <v>871</v>
      </c>
      <c r="E42" s="209" t="s">
        <v>655</v>
      </c>
      <c r="F42" s="283" t="s">
        <v>13217</v>
      </c>
      <c r="H42" s="209" t="s">
        <v>2185</v>
      </c>
      <c r="I42" s="209" t="s">
        <v>9425</v>
      </c>
      <c r="J42" s="231" t="str">
        <f t="shared" si="0"/>
        <v>GoldBangko Sentral ng Pilipinas (Central Bank of the Philippines)</v>
      </c>
      <c r="K42" s="231" t="str">
        <f t="shared" si="1"/>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0"/>
        <v>GoldBoliden Ronnskar</v>
      </c>
      <c r="K43" s="231" t="str">
        <f t="shared" si="1"/>
        <v>GoldBoliden Ronnskar</v>
      </c>
    </row>
    <row r="44" spans="1:11">
      <c r="A44" s="209" t="s">
        <v>1119</v>
      </c>
      <c r="B44" s="209" t="s">
        <v>657</v>
      </c>
      <c r="C44" s="209" t="s">
        <v>657</v>
      </c>
      <c r="D44" s="209" t="s">
        <v>1091</v>
      </c>
      <c r="E44" s="209" t="s">
        <v>658</v>
      </c>
      <c r="F44" s="283" t="s">
        <v>13217</v>
      </c>
      <c r="H44" s="209" t="s">
        <v>1535</v>
      </c>
      <c r="I44" s="209" t="s">
        <v>1536</v>
      </c>
      <c r="J44" s="231" t="str">
        <f t="shared" si="0"/>
        <v>GoldC. Hafner GmbH + Co. KG</v>
      </c>
      <c r="K44" s="231" t="str">
        <f t="shared" si="1"/>
        <v>GoldC. Hafner GmbH + Co. KG</v>
      </c>
    </row>
    <row r="45" spans="1:11">
      <c r="A45" s="209" t="s">
        <v>1119</v>
      </c>
      <c r="B45" s="209" t="s">
        <v>895</v>
      </c>
      <c r="C45" s="209" t="s">
        <v>895</v>
      </c>
      <c r="D45" s="209" t="s">
        <v>1103</v>
      </c>
      <c r="E45" s="209" t="s">
        <v>659</v>
      </c>
      <c r="F45" s="283" t="s">
        <v>13217</v>
      </c>
      <c r="H45" s="209" t="s">
        <v>1552</v>
      </c>
      <c r="I45" s="209" t="s">
        <v>1553</v>
      </c>
      <c r="J45" s="231" t="str">
        <f t="shared" si="0"/>
        <v>GoldCaridad</v>
      </c>
      <c r="K45" s="231" t="str">
        <f t="shared" si="1"/>
        <v>GoldCaridad</v>
      </c>
    </row>
    <row r="46" spans="1:11">
      <c r="A46" s="209" t="s">
        <v>1119</v>
      </c>
      <c r="B46" s="209" t="s">
        <v>1556</v>
      </c>
      <c r="C46" s="209" t="s">
        <v>2223</v>
      </c>
      <c r="D46" s="209" t="s">
        <v>1087</v>
      </c>
      <c r="E46" s="209" t="s">
        <v>660</v>
      </c>
      <c r="F46" s="283" t="s">
        <v>13217</v>
      </c>
      <c r="H46" s="209" t="s">
        <v>1554</v>
      </c>
      <c r="I46" s="209" t="s">
        <v>1555</v>
      </c>
      <c r="J46" s="231" t="str">
        <f t="shared" si="0"/>
        <v>GoldCCR</v>
      </c>
      <c r="K46" s="231" t="str">
        <f t="shared" si="1"/>
        <v>GoldCCR</v>
      </c>
    </row>
    <row r="47" spans="1:11">
      <c r="A47" s="209" t="s">
        <v>1119</v>
      </c>
      <c r="B47" s="209" t="s">
        <v>2223</v>
      </c>
      <c r="C47" s="209" t="s">
        <v>2223</v>
      </c>
      <c r="D47" s="209" t="s">
        <v>1087</v>
      </c>
      <c r="E47" s="209" t="s">
        <v>660</v>
      </c>
      <c r="F47" s="283" t="s">
        <v>13217</v>
      </c>
      <c r="H47" s="209" t="s">
        <v>1554</v>
      </c>
      <c r="I47" s="209" t="s">
        <v>1555</v>
      </c>
      <c r="J47" s="231" t="str">
        <f t="shared" si="0"/>
        <v>GoldCCR Refinery - Glencore Canada Corporation</v>
      </c>
      <c r="K47" s="231" t="str">
        <f t="shared" si="1"/>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0"/>
        <v>GoldCendres + M?taux SA</v>
      </c>
      <c r="K48" s="231" t="str">
        <f t="shared" si="1"/>
        <v>GoldCendres + M?taux SA</v>
      </c>
    </row>
    <row r="49" spans="1:11">
      <c r="A49" s="209" t="s">
        <v>1119</v>
      </c>
      <c r="B49" s="209" t="s">
        <v>2476</v>
      </c>
      <c r="C49" s="209" t="s">
        <v>2476</v>
      </c>
      <c r="D49" s="209" t="s">
        <v>1088</v>
      </c>
      <c r="E49" s="209" t="s">
        <v>661</v>
      </c>
      <c r="F49" s="283" t="s">
        <v>13217</v>
      </c>
      <c r="H49" s="209" t="s">
        <v>1558</v>
      </c>
      <c r="I49" s="209" t="s">
        <v>1559</v>
      </c>
      <c r="J49" s="231" t="str">
        <f t="shared" si="0"/>
        <v>GoldCendres + Metaux S.A.</v>
      </c>
      <c r="K49" s="231" t="str">
        <f t="shared" si="1"/>
        <v>GoldCendres + Metaux S.A.</v>
      </c>
    </row>
    <row r="50" spans="1:11">
      <c r="A50" s="209" t="s">
        <v>1119</v>
      </c>
      <c r="B50" s="209" t="s">
        <v>2277</v>
      </c>
      <c r="C50" s="209" t="s">
        <v>2476</v>
      </c>
      <c r="D50" s="209" t="s">
        <v>1088</v>
      </c>
      <c r="E50" s="209" t="s">
        <v>661</v>
      </c>
      <c r="F50" s="283" t="s">
        <v>13217</v>
      </c>
      <c r="H50" s="209" t="s">
        <v>1558</v>
      </c>
      <c r="I50" s="209" t="s">
        <v>1559</v>
      </c>
      <c r="J50" s="231" t="str">
        <f t="shared" si="0"/>
        <v>GoldCendres + Métaux S.A.</v>
      </c>
      <c r="K50" s="231" t="str">
        <f t="shared" si="1"/>
        <v>GoldCendres + Métaux S.A.</v>
      </c>
    </row>
    <row r="51" spans="1:11">
      <c r="A51" s="209" t="s">
        <v>1119</v>
      </c>
      <c r="B51" s="209" t="s">
        <v>1214</v>
      </c>
      <c r="C51" s="209" t="s">
        <v>894</v>
      </c>
      <c r="D51" s="209" t="s">
        <v>871</v>
      </c>
      <c r="E51" s="209" t="s">
        <v>655</v>
      </c>
      <c r="F51" s="283" t="s">
        <v>13217</v>
      </c>
      <c r="H51" s="209" t="s">
        <v>2185</v>
      </c>
      <c r="I51" s="209" t="s">
        <v>9425</v>
      </c>
      <c r="J51" s="231" t="str">
        <f t="shared" si="0"/>
        <v>GoldCentral Bank of the Philippines Gold Refinery &amp; Mint</v>
      </c>
      <c r="K51" s="231" t="str">
        <f t="shared" si="1"/>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0"/>
        <v>GoldCGR Metalloys Pvt Ltd.</v>
      </c>
      <c r="K52" s="231" t="str">
        <f t="shared" si="1"/>
        <v>GoldCGR Metalloys Pvt Ltd.</v>
      </c>
    </row>
    <row r="53" spans="1:11">
      <c r="A53" s="209" t="s">
        <v>1119</v>
      </c>
      <c r="B53" s="209" t="s">
        <v>15765</v>
      </c>
      <c r="C53" s="209" t="s">
        <v>15766</v>
      </c>
      <c r="D53" s="209" t="s">
        <v>870</v>
      </c>
      <c r="E53" s="209" t="s">
        <v>15767</v>
      </c>
      <c r="F53" s="283" t="s">
        <v>13217</v>
      </c>
      <c r="H53" s="209" t="s">
        <v>15775</v>
      </c>
      <c r="I53" t="s">
        <v>9109</v>
      </c>
      <c r="J53" s="231" t="str">
        <f t="shared" si="0"/>
        <v>GoldChala One Plant</v>
      </c>
      <c r="K53" s="231" t="str">
        <f t="shared" si="1"/>
        <v>GoldChala One Plant</v>
      </c>
    </row>
    <row r="54" spans="1:11">
      <c r="A54" s="209" t="s">
        <v>1119</v>
      </c>
      <c r="B54" s="209" t="s">
        <v>15768</v>
      </c>
      <c r="C54" s="209" t="s">
        <v>15766</v>
      </c>
      <c r="D54" s="209" t="s">
        <v>870</v>
      </c>
      <c r="E54" s="209" t="s">
        <v>15767</v>
      </c>
      <c r="F54" s="283" t="s">
        <v>13217</v>
      </c>
      <c r="H54" s="209" t="s">
        <v>15775</v>
      </c>
      <c r="I54" t="s">
        <v>9109</v>
      </c>
      <c r="J54" s="231" t="str">
        <f t="shared" si="0"/>
        <v>GoldChala One S.A.C.</v>
      </c>
      <c r="K54" s="231" t="str">
        <f t="shared" si="1"/>
        <v>GoldChala One S.A.C.</v>
      </c>
    </row>
    <row r="55" spans="1:11">
      <c r="A55" s="209" t="s">
        <v>1119</v>
      </c>
      <c r="B55" s="209" t="s">
        <v>1561</v>
      </c>
      <c r="C55" s="209" t="s">
        <v>2126</v>
      </c>
      <c r="D55" s="209" t="s">
        <v>1090</v>
      </c>
      <c r="E55" s="209" t="s">
        <v>738</v>
      </c>
      <c r="F55" s="283" t="s">
        <v>13217</v>
      </c>
      <c r="H55" s="209" t="s">
        <v>1560</v>
      </c>
      <c r="I55" s="209" t="s">
        <v>13605</v>
      </c>
      <c r="J55" s="231" t="str">
        <f t="shared" si="0"/>
        <v>GoldCHALCO Yunnan Copper Co. Ltd.</v>
      </c>
      <c r="K55" s="231" t="str">
        <f t="shared" si="1"/>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0"/>
        <v>GoldChemmanur Gold Refinery</v>
      </c>
      <c r="K56" s="231" t="str">
        <f t="shared" si="1"/>
        <v>GoldChemmanur Gold Refinery</v>
      </c>
    </row>
    <row r="57" spans="1:11">
      <c r="A57" s="209" t="s">
        <v>1119</v>
      </c>
      <c r="B57" s="209" t="s">
        <v>51</v>
      </c>
      <c r="C57" s="209" t="s">
        <v>51</v>
      </c>
      <c r="D57" s="209" t="s">
        <v>1097</v>
      </c>
      <c r="E57" s="209" t="s">
        <v>662</v>
      </c>
      <c r="F57" s="283" t="s">
        <v>13217</v>
      </c>
      <c r="H57" s="209" t="s">
        <v>1562</v>
      </c>
      <c r="I57" s="209" t="s">
        <v>6448</v>
      </c>
      <c r="J57" s="231" t="str">
        <f t="shared" si="0"/>
        <v>GoldChimet S.p.A.</v>
      </c>
      <c r="K57" s="231" t="str">
        <f t="shared" si="1"/>
        <v>GoldChimet S.p.A.</v>
      </c>
    </row>
    <row r="58" spans="1:11">
      <c r="A58" s="209" t="s">
        <v>1119</v>
      </c>
      <c r="B58" s="209" t="s">
        <v>13812</v>
      </c>
      <c r="C58" s="209" t="s">
        <v>1313</v>
      </c>
      <c r="D58" s="209" t="s">
        <v>1090</v>
      </c>
      <c r="E58" s="209" t="s">
        <v>739</v>
      </c>
      <c r="F58" s="283" t="s">
        <v>13217</v>
      </c>
      <c r="H58" s="209" t="s">
        <v>1678</v>
      </c>
      <c r="I58" s="209" t="s">
        <v>13598</v>
      </c>
      <c r="J58" s="231" t="str">
        <f t="shared" si="0"/>
        <v>GoldChina Henan Zhongyuan Gold Smelter</v>
      </c>
      <c r="K58" s="231" t="str">
        <f t="shared" si="1"/>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0"/>
        <v>GoldChina's Shandong Gold Mining Co., Ltd</v>
      </c>
      <c r="K59" s="231" t="str">
        <f t="shared" si="1"/>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0"/>
        <v>GoldChugai Mining</v>
      </c>
      <c r="K60" s="231" t="str">
        <f t="shared" si="1"/>
        <v>GoldChugai Mining</v>
      </c>
    </row>
    <row r="61" spans="1:11">
      <c r="A61" s="209" t="s">
        <v>1119</v>
      </c>
      <c r="B61" s="209" t="s">
        <v>15487</v>
      </c>
      <c r="C61" s="209" t="s">
        <v>15487</v>
      </c>
      <c r="D61" s="209" t="s">
        <v>1086</v>
      </c>
      <c r="E61" s="209" t="s">
        <v>15488</v>
      </c>
      <c r="F61" s="283" t="s">
        <v>13217</v>
      </c>
      <c r="H61" s="209" t="s">
        <v>15528</v>
      </c>
      <c r="I61" s="209" t="s">
        <v>1713</v>
      </c>
      <c r="J61" s="231" t="str">
        <f t="shared" si="0"/>
        <v>GoldCoimpa Industrial LTDA</v>
      </c>
      <c r="K61" s="231" t="str">
        <f t="shared" si="1"/>
        <v>GoldCoimpa Industrial LTDA</v>
      </c>
    </row>
    <row r="62" spans="1:11">
      <c r="A62" s="209" t="s">
        <v>1119</v>
      </c>
      <c r="B62" s="209" t="s">
        <v>664</v>
      </c>
      <c r="C62" s="209" t="s">
        <v>664</v>
      </c>
      <c r="D62" s="209" t="s">
        <v>1090</v>
      </c>
      <c r="E62" s="209" t="s">
        <v>665</v>
      </c>
      <c r="F62" s="283" t="s">
        <v>13217</v>
      </c>
      <c r="H62" s="209" t="s">
        <v>1565</v>
      </c>
      <c r="I62" s="209" t="s">
        <v>13599</v>
      </c>
      <c r="J62" s="231" t="str">
        <f t="shared" si="0"/>
        <v>GoldDaye Non-Ferrous Metals Mining Ltd.</v>
      </c>
      <c r="K62" s="231" t="str">
        <f t="shared" si="1"/>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0"/>
        <v>GoldDEGUSSA</v>
      </c>
      <c r="K63" s="231" t="str">
        <f t="shared" si="1"/>
        <v>GoldDEGUSSA</v>
      </c>
    </row>
    <row r="64" spans="1:11">
      <c r="A64" s="209" t="s">
        <v>1119</v>
      </c>
      <c r="B64" s="209" t="s">
        <v>2419</v>
      </c>
      <c r="C64" s="209" t="s">
        <v>2419</v>
      </c>
      <c r="D64" s="209" t="s">
        <v>1091</v>
      </c>
      <c r="E64" s="209" t="s">
        <v>2420</v>
      </c>
      <c r="F64" s="283" t="s">
        <v>13217</v>
      </c>
      <c r="H64" s="209" t="s">
        <v>1535</v>
      </c>
      <c r="I64" s="209" t="s">
        <v>1536</v>
      </c>
      <c r="J64" s="231" t="str">
        <f t="shared" si="0"/>
        <v>GoldDegussa Sonne / Mond Goldhandel GmbH</v>
      </c>
      <c r="K64" s="231" t="str">
        <f t="shared" si="1"/>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0"/>
        <v>GoldDijllah Gold Refinery FZC</v>
      </c>
      <c r="K65" s="231" t="str">
        <f t="shared" si="1"/>
        <v>GoldDijllah Gold Refinery FZC</v>
      </c>
    </row>
    <row r="66" spans="1:11">
      <c r="A66" s="209" t="s">
        <v>1119</v>
      </c>
      <c r="B66" s="209" t="s">
        <v>607</v>
      </c>
      <c r="C66" s="209" t="s">
        <v>2239</v>
      </c>
      <c r="D66" s="209" t="s">
        <v>1101</v>
      </c>
      <c r="E66" s="209" t="s">
        <v>666</v>
      </c>
      <c r="F66" s="283" t="s">
        <v>13217</v>
      </c>
      <c r="H66" s="209" t="s">
        <v>1566</v>
      </c>
      <c r="I66" s="209" t="s">
        <v>12849</v>
      </c>
      <c r="J66" s="231" t="str">
        <f t="shared" si="0"/>
        <v>GoldDo Sung Corporation</v>
      </c>
      <c r="K66" s="231" t="str">
        <f t="shared" si="1"/>
        <v>GoldDo Sung Corporation</v>
      </c>
    </row>
    <row r="67" spans="1:11">
      <c r="A67" s="209" t="s">
        <v>1119</v>
      </c>
      <c r="B67" s="209" t="s">
        <v>15411</v>
      </c>
      <c r="C67" s="209" t="s">
        <v>15411</v>
      </c>
      <c r="D67" s="209" t="s">
        <v>1090</v>
      </c>
      <c r="E67" s="209" t="s">
        <v>15412</v>
      </c>
      <c r="F67" s="283" t="s">
        <v>13217</v>
      </c>
      <c r="H67" s="209" t="s">
        <v>15413</v>
      </c>
      <c r="I67" s="209" t="s">
        <v>13609</v>
      </c>
      <c r="J67" s="231" t="str">
        <f t="shared" si="0"/>
        <v>GoldDongwu Gold Group</v>
      </c>
      <c r="K67" s="231" t="str">
        <f t="shared" si="1"/>
        <v>GoldDongwu Gold Group</v>
      </c>
    </row>
    <row r="68" spans="1:11">
      <c r="A68" s="209" t="s">
        <v>1119</v>
      </c>
      <c r="B68" s="209" t="s">
        <v>36</v>
      </c>
      <c r="C68" s="209" t="s">
        <v>2239</v>
      </c>
      <c r="D68" s="209" t="s">
        <v>1101</v>
      </c>
      <c r="E68" s="209" t="s">
        <v>666</v>
      </c>
      <c r="F68" s="283" t="s">
        <v>13217</v>
      </c>
      <c r="H68" s="209" t="s">
        <v>1566</v>
      </c>
      <c r="I68" s="209" t="s">
        <v>12849</v>
      </c>
      <c r="J68" s="231" t="str">
        <f t="shared" si="0"/>
        <v>GoldDosung metal</v>
      </c>
      <c r="K68" s="231" t="str">
        <f t="shared" si="1"/>
        <v>GoldDosung metal</v>
      </c>
    </row>
    <row r="69" spans="1:11">
      <c r="A69" s="209" t="s">
        <v>1119</v>
      </c>
      <c r="B69" s="209" t="s">
        <v>896</v>
      </c>
      <c r="C69" s="209" t="s">
        <v>896</v>
      </c>
      <c r="D69" s="209" t="s">
        <v>1098</v>
      </c>
      <c r="E69" s="209" t="s">
        <v>667</v>
      </c>
      <c r="F69" s="283" t="s">
        <v>13217</v>
      </c>
      <c r="H69" s="209" t="s">
        <v>1567</v>
      </c>
      <c r="I69" s="209" t="s">
        <v>1568</v>
      </c>
      <c r="J69" s="231" t="str">
        <f t="shared" si="0"/>
        <v>GoldDowa</v>
      </c>
      <c r="K69" s="231" t="str">
        <f t="shared" si="1"/>
        <v>GoldDowa</v>
      </c>
    </row>
    <row r="70" spans="1:11">
      <c r="A70" s="209" t="s">
        <v>1119</v>
      </c>
      <c r="B70" s="209" t="s">
        <v>1569</v>
      </c>
      <c r="C70" s="209" t="s">
        <v>896</v>
      </c>
      <c r="D70" s="209" t="s">
        <v>1098</v>
      </c>
      <c r="E70" s="209" t="s">
        <v>667</v>
      </c>
      <c r="F70" s="283" t="s">
        <v>13217</v>
      </c>
      <c r="H70" s="209" t="s">
        <v>1567</v>
      </c>
      <c r="I70" s="209" t="s">
        <v>1568</v>
      </c>
      <c r="J70" s="231" t="str">
        <f t="shared" si="0"/>
        <v>GoldDowa Kogyo k.k.</v>
      </c>
      <c r="K70" s="231" t="str">
        <f t="shared" si="1"/>
        <v>GoldDowa Kogyo k.k.</v>
      </c>
    </row>
    <row r="71" spans="1:11">
      <c r="A71" s="209" t="s">
        <v>1119</v>
      </c>
      <c r="B71" s="209" t="s">
        <v>1570</v>
      </c>
      <c r="C71" s="209" t="s">
        <v>896</v>
      </c>
      <c r="D71" s="209" t="s">
        <v>1098</v>
      </c>
      <c r="E71" s="209" t="s">
        <v>667</v>
      </c>
      <c r="F71" s="283" t="s">
        <v>13217</v>
      </c>
      <c r="H71" s="209" t="s">
        <v>1567</v>
      </c>
      <c r="I71" s="209" t="s">
        <v>1568</v>
      </c>
      <c r="J71" s="231" t="str">
        <f t="shared" ref="J71:J134" si="2">A71&amp;B71</f>
        <v>GoldDowa Metalmine Co. Ltd</v>
      </c>
      <c r="K71" s="231" t="str">
        <f t="shared" ref="K71:K134" si="3">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2"/>
        <v>GoldDowa Metals &amp; Mining Co. Ltd</v>
      </c>
      <c r="K72" s="231" t="str">
        <f t="shared" si="3"/>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2"/>
        <v>GoldDSC (Do Sung Corporation)</v>
      </c>
      <c r="K73" s="231" t="str">
        <f t="shared" si="3"/>
        <v>GoldDSC (Do Sung Corporation)</v>
      </c>
    </row>
    <row r="74" spans="1:11">
      <c r="A74" s="209" t="s">
        <v>1119</v>
      </c>
      <c r="B74" s="209" t="s">
        <v>13813</v>
      </c>
      <c r="C74" s="209" t="s">
        <v>13813</v>
      </c>
      <c r="D74" s="209" t="s">
        <v>1098</v>
      </c>
      <c r="E74" s="209" t="s">
        <v>393</v>
      </c>
      <c r="F74" s="283" t="s">
        <v>13217</v>
      </c>
      <c r="H74" s="209" t="s">
        <v>1572</v>
      </c>
      <c r="I74" s="209" t="s">
        <v>1573</v>
      </c>
      <c r="J74" s="231" t="str">
        <f t="shared" si="2"/>
        <v>GoldEco-System Recycling Co., Ltd. East Plant</v>
      </c>
      <c r="K74" s="231" t="str">
        <f t="shared" si="3"/>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2"/>
        <v>GoldEco-System Recycling Co., Ltd. North Plant</v>
      </c>
      <c r="K75" s="231" t="str">
        <f t="shared" si="3"/>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2"/>
        <v>GoldEco-System Recycling Co., Ltd. West Plant</v>
      </c>
      <c r="K76" s="231" t="str">
        <f t="shared" si="3"/>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2"/>
        <v>GoldEkaterinburg</v>
      </c>
      <c r="K77" s="231" t="str">
        <f t="shared" si="3"/>
        <v>GoldEkaterinburg</v>
      </c>
    </row>
    <row r="78" spans="1:11">
      <c r="A78" s="209" t="s">
        <v>1119</v>
      </c>
      <c r="B78" s="209" t="s">
        <v>15769</v>
      </c>
      <c r="C78" s="209" t="s">
        <v>15769</v>
      </c>
      <c r="D78" s="209" t="s">
        <v>2414</v>
      </c>
      <c r="E78" s="209" t="s">
        <v>15770</v>
      </c>
      <c r="F78" s="283" t="s">
        <v>13217</v>
      </c>
      <c r="H78" s="209" t="s">
        <v>15771</v>
      </c>
      <c r="I78" s="209" t="s">
        <v>11472</v>
      </c>
      <c r="J78" s="231" t="str">
        <f t="shared" si="2"/>
        <v>GoldElite Industech Co., Ltd.</v>
      </c>
      <c r="K78" s="231" t="str">
        <f t="shared" si="3"/>
        <v>GoldElite Industech Co., Ltd.</v>
      </c>
    </row>
    <row r="79" spans="1:11">
      <c r="A79" s="209" t="s">
        <v>1119</v>
      </c>
      <c r="B79" s="209" t="s">
        <v>15772</v>
      </c>
      <c r="C79" s="209" t="s">
        <v>15773</v>
      </c>
      <c r="D79" s="209" t="s">
        <v>870</v>
      </c>
      <c r="E79" s="209" t="s">
        <v>15774</v>
      </c>
      <c r="F79" s="283" t="s">
        <v>13217</v>
      </c>
      <c r="H79" s="209" t="s">
        <v>15775</v>
      </c>
      <c r="I79" t="s">
        <v>9109</v>
      </c>
      <c r="J79" s="231" t="str">
        <f t="shared" si="2"/>
        <v>GoldEMC Green Group S.A.</v>
      </c>
      <c r="K79" s="231" t="str">
        <f t="shared" si="3"/>
        <v>GoldEMC Green Group S.A.</v>
      </c>
    </row>
    <row r="80" spans="1:11">
      <c r="A80" s="209" t="s">
        <v>1119</v>
      </c>
      <c r="B80" s="209" t="s">
        <v>15021</v>
      </c>
      <c r="C80" s="209" t="s">
        <v>15021</v>
      </c>
      <c r="D80" s="209" t="s">
        <v>1096</v>
      </c>
      <c r="E80" s="209" t="s">
        <v>15022</v>
      </c>
      <c r="F80" s="283" t="s">
        <v>13217</v>
      </c>
      <c r="H80" s="209" t="s">
        <v>15100</v>
      </c>
      <c r="I80" s="209" t="s">
        <v>15552</v>
      </c>
      <c r="J80" s="231" t="str">
        <f t="shared" si="2"/>
        <v>GoldEmerald Jewel Industry India Limited (Unit 1)</v>
      </c>
      <c r="K80" s="231" t="str">
        <f t="shared" si="3"/>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2"/>
        <v>GoldEmerald Jewel Industry India Limited (Unit 2)</v>
      </c>
      <c r="K81" s="231" t="str">
        <f t="shared" si="3"/>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2"/>
        <v>GoldEmerald Jewel Industry India Limited (Unit 3)</v>
      </c>
      <c r="K82" s="231" t="str">
        <f t="shared" si="3"/>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2"/>
        <v>GoldEmerald Jewel Industry India Limited (Unit 4)</v>
      </c>
      <c r="K83" s="231" t="str">
        <f t="shared" si="3"/>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2"/>
        <v>GoldEmirates Gold DMCC</v>
      </c>
      <c r="K84" s="231" t="str">
        <f t="shared" si="3"/>
        <v>GoldEmirates Gold DMCC</v>
      </c>
    </row>
    <row r="85" spans="1:11">
      <c r="A85" s="209" t="s">
        <v>1119</v>
      </c>
      <c r="B85" s="209" t="s">
        <v>2478</v>
      </c>
      <c r="C85" s="209" t="s">
        <v>901</v>
      </c>
      <c r="D85" s="209" t="s">
        <v>873</v>
      </c>
      <c r="E85" s="209" t="s">
        <v>706</v>
      </c>
      <c r="F85" s="283" t="s">
        <v>13217</v>
      </c>
      <c r="H85" s="209" t="s">
        <v>1622</v>
      </c>
      <c r="I85" s="209" t="s">
        <v>9870</v>
      </c>
      <c r="J85" s="231" t="str">
        <f t="shared" si="2"/>
        <v>GoldFederal State Unitary Enterprise Moscow Special Processing Plant (FSUE MZSS)</v>
      </c>
      <c r="K85" s="231" t="str">
        <f t="shared" si="3"/>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2"/>
        <v>GoldFidelity Printers and Refiners Ltd.</v>
      </c>
      <c r="K86" s="231" t="str">
        <f t="shared" si="3"/>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2"/>
        <v>GoldFSE Novosibirsk Refinery</v>
      </c>
      <c r="K87" s="231" t="str">
        <f t="shared" si="3"/>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2"/>
        <v>GoldFujairah Gold FZC</v>
      </c>
      <c r="K88" s="231" t="str">
        <f t="shared" si="3"/>
        <v>GoldFujairah Gold FZC</v>
      </c>
    </row>
    <row r="89" spans="1:11">
      <c r="A89" s="209" t="s">
        <v>1119</v>
      </c>
      <c r="B89" s="209" t="s">
        <v>15414</v>
      </c>
      <c r="C89" s="209" t="s">
        <v>13765</v>
      </c>
      <c r="D89" s="209" t="s">
        <v>1082</v>
      </c>
      <c r="E89" s="209" t="s">
        <v>13766</v>
      </c>
      <c r="F89" s="283" t="s">
        <v>13217</v>
      </c>
      <c r="H89" s="209" t="s">
        <v>13800</v>
      </c>
      <c r="I89" s="209" t="s">
        <v>2553</v>
      </c>
      <c r="J89" s="231" t="str">
        <f t="shared" si="2"/>
        <v>GoldFujhara Refinery</v>
      </c>
      <c r="K89" s="231" t="str">
        <f t="shared" si="3"/>
        <v>GoldFujhara Refinery</v>
      </c>
    </row>
    <row r="90" spans="1:11">
      <c r="A90" s="209" t="s">
        <v>1119</v>
      </c>
      <c r="B90" s="209" t="s">
        <v>21</v>
      </c>
      <c r="C90" s="209" t="s">
        <v>2479</v>
      </c>
      <c r="D90" s="209" t="s">
        <v>1090</v>
      </c>
      <c r="E90" s="209" t="s">
        <v>740</v>
      </c>
      <c r="F90" s="283" t="s">
        <v>13217</v>
      </c>
      <c r="H90" s="209" t="s">
        <v>1681</v>
      </c>
      <c r="I90" s="209" t="s">
        <v>13595</v>
      </c>
      <c r="J90" s="231" t="str">
        <f t="shared" si="2"/>
        <v>GoldFujian Zijin mining stock company gold smelter</v>
      </c>
      <c r="K90" s="231" t="str">
        <f t="shared" si="3"/>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2"/>
        <v>GoldGG Refinery Ltd.</v>
      </c>
      <c r="K91" s="231" t="str">
        <f t="shared" si="3"/>
        <v>GoldGG Refinery Ltd.</v>
      </c>
    </row>
    <row r="92" spans="1:11">
      <c r="A92" s="209" t="s">
        <v>1119</v>
      </c>
      <c r="B92" s="209" t="s">
        <v>15415</v>
      </c>
      <c r="C92" s="209" t="s">
        <v>15415</v>
      </c>
      <c r="D92" s="209" t="s">
        <v>1096</v>
      </c>
      <c r="E92" s="209" t="s">
        <v>2279</v>
      </c>
      <c r="F92" s="283" t="s">
        <v>13217</v>
      </c>
      <c r="H92" s="209" t="s">
        <v>2280</v>
      </c>
      <c r="I92" s="209" t="s">
        <v>15543</v>
      </c>
      <c r="J92" s="231" t="str">
        <f t="shared" si="2"/>
        <v>GoldGGC Gujrat Gold Centre Pvt. Ltd.</v>
      </c>
      <c r="K92" s="231" t="str">
        <f t="shared" si="3"/>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2"/>
        <v>GoldGold by Gold Colombia</v>
      </c>
      <c r="K93" s="231" t="str">
        <f t="shared" si="3"/>
        <v>GoldGold by Gold Colombia</v>
      </c>
    </row>
    <row r="94" spans="1:11">
      <c r="A94" s="209" t="s">
        <v>1119</v>
      </c>
      <c r="B94" s="209" t="s">
        <v>13817</v>
      </c>
      <c r="C94" s="209" t="s">
        <v>13817</v>
      </c>
      <c r="D94" s="209" t="s">
        <v>12990</v>
      </c>
      <c r="E94" s="209" t="s">
        <v>13836</v>
      </c>
      <c r="F94" s="283" t="s">
        <v>13217</v>
      </c>
      <c r="H94" s="209" t="s">
        <v>14000</v>
      </c>
      <c r="I94" s="209" t="s">
        <v>5550</v>
      </c>
      <c r="J94" s="231" t="str">
        <f t="shared" si="2"/>
        <v>GoldGold Coast Refinery</v>
      </c>
      <c r="K94" s="231" t="str">
        <f t="shared" si="3"/>
        <v>GoldGold Coast Refinery</v>
      </c>
    </row>
    <row r="95" spans="1:11">
      <c r="A95" s="209" t="s">
        <v>1119</v>
      </c>
      <c r="B95" s="209" t="s">
        <v>22</v>
      </c>
      <c r="C95" s="209" t="s">
        <v>15020</v>
      </c>
      <c r="D95" s="209" t="s">
        <v>1090</v>
      </c>
      <c r="E95" s="209" t="s">
        <v>728</v>
      </c>
      <c r="F95" s="283" t="s">
        <v>13217</v>
      </c>
      <c r="H95" s="209" t="s">
        <v>1647</v>
      </c>
      <c r="I95" s="209" t="s">
        <v>13597</v>
      </c>
      <c r="J95" s="231" t="str">
        <f t="shared" si="2"/>
        <v>GoldGold Mining in Shandong (Laizhou) Limited Company</v>
      </c>
      <c r="K95" s="231" t="str">
        <f t="shared" si="3"/>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2"/>
        <v>GoldGold Refinery of Zijin Mining Group Co., Ltd.</v>
      </c>
      <c r="K96" s="231" t="str">
        <f t="shared" si="3"/>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2"/>
        <v>GoldGreat Wall Precious Metals Co,. LTD.</v>
      </c>
      <c r="K97" s="231" t="str">
        <f t="shared" si="3"/>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2"/>
        <v>GoldGreat Wall Precious Metals Co., Ltd. of CBPM</v>
      </c>
      <c r="K98" s="231" t="str">
        <f t="shared" si="3"/>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2"/>
        <v>GoldGuangdong Gaoyao Co</v>
      </c>
      <c r="K99" s="231" t="str">
        <f t="shared" si="3"/>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2"/>
        <v>GoldGuangdong Jinding Gold Limited</v>
      </c>
      <c r="K100" s="231" t="str">
        <f t="shared" si="3"/>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2"/>
        <v>GoldGujarat Gold Centre</v>
      </c>
      <c r="K101" s="231" t="str">
        <f t="shared" si="3"/>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2"/>
        <v>GoldGuoda Safina High-Tech Environmental Refinery Co., Ltd.</v>
      </c>
      <c r="K102" s="231" t="str">
        <f t="shared" si="3"/>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2"/>
        <v>GoldHangzhou Fuchunjiang Smelting Co., Ltd.</v>
      </c>
      <c r="K103" s="231" t="str">
        <f t="shared" si="3"/>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2"/>
        <v>GoldHeeSung Metal Ltd.</v>
      </c>
      <c r="K104" s="231" t="str">
        <f t="shared" si="3"/>
        <v>GoldHeeSung Metal Ltd.</v>
      </c>
    </row>
    <row r="105" spans="1:11">
      <c r="A105" s="209" t="s">
        <v>1119</v>
      </c>
      <c r="B105" s="209" t="s">
        <v>1029</v>
      </c>
      <c r="C105" s="209" t="s">
        <v>1029</v>
      </c>
      <c r="D105" s="209" t="s">
        <v>1091</v>
      </c>
      <c r="E105" s="209" t="s">
        <v>672</v>
      </c>
      <c r="F105" s="283" t="s">
        <v>13217</v>
      </c>
      <c r="H105" s="209" t="s">
        <v>1535</v>
      </c>
      <c r="I105" s="209" t="s">
        <v>1536</v>
      </c>
      <c r="J105" s="231" t="str">
        <f t="shared" si="2"/>
        <v>GoldHeimerle + Meule GmbH</v>
      </c>
      <c r="K105" s="231" t="str">
        <f t="shared" si="3"/>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2"/>
        <v>GoldHenan Zhongyuan Gold Refinery Co., Ltd.</v>
      </c>
      <c r="K106" s="231" t="str">
        <f t="shared" si="3"/>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2"/>
        <v>GoldHenan Zhongyuan Gold Smelter of Zhongjin Gold Co. Ltd.</v>
      </c>
      <c r="K107" s="231" t="str">
        <f t="shared" si="3"/>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2"/>
        <v>GoldHenan Zhongyuan Gold Smelter of Zhongjin Gold Corporation Limited</v>
      </c>
      <c r="K108" s="231" t="str">
        <f t="shared" si="3"/>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2"/>
        <v>GoldHeraeus Germany GmbH Co. KG</v>
      </c>
      <c r="K109" s="231" t="str">
        <f t="shared" si="3"/>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2"/>
        <v>GoldHeraeus Ltd. Hong Kong</v>
      </c>
      <c r="K110" s="231" t="str">
        <f t="shared" si="3"/>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2"/>
        <v>GoldHeraeus Metals Hong Kong Ltd.</v>
      </c>
      <c r="K111" s="231" t="str">
        <f t="shared" si="3"/>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2"/>
        <v>GoldHeraeus Precious Metals GmbH &amp; Co. KG</v>
      </c>
      <c r="K112" s="231" t="str">
        <f t="shared" si="3"/>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2"/>
        <v>GoldHunan Chenzhou Mining Co., Ltd.</v>
      </c>
      <c r="K113" s="231" t="str">
        <f t="shared" si="3"/>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2"/>
        <v>GoldHunan Chenzhou Mining Group Co., Ltd.</v>
      </c>
      <c r="K114" s="231" t="str">
        <f t="shared" si="3"/>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2"/>
        <v>GoldHunan Chenzhou Mining Industry Co. Ltd.</v>
      </c>
      <c r="K115" s="231" t="str">
        <f t="shared" si="3"/>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2"/>
        <v>GoldHunan Guiyang yinxing Nonferrous Smelting Co., Ltd.</v>
      </c>
      <c r="K116" s="231" t="str">
        <f t="shared" si="3"/>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2"/>
        <v>GoldHunan Yu Teng Non-Ferrous Metals Co., Ltd.</v>
      </c>
      <c r="K117" s="231" t="str">
        <f t="shared" si="3"/>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2"/>
        <v>GoldHwaSeong CJ CO., LTD.</v>
      </c>
      <c r="K118" s="231" t="str">
        <f t="shared" si="3"/>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2"/>
        <v>GoldImpala Refineries – Base Metals Refinery (BMR)</v>
      </c>
      <c r="K119" s="231" t="str">
        <f t="shared" si="3"/>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2"/>
        <v>GoldImpala Refineries – Platinum Metals Refinery (PMR)</v>
      </c>
      <c r="K120" s="231" t="str">
        <f t="shared" si="3"/>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2"/>
        <v>GoldImpala Rustenburg</v>
      </c>
      <c r="K121" s="231" t="str">
        <f t="shared" si="3"/>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2"/>
        <v>GoldInca One (Chala One Plant)</v>
      </c>
      <c r="K122" s="231" t="str">
        <f t="shared" si="3"/>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2"/>
        <v>GoldInca One (Koricancha Plant)</v>
      </c>
      <c r="K123" s="231" t="str">
        <f t="shared" si="3"/>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2"/>
        <v>GoldIndustrial Refining Company</v>
      </c>
      <c r="K124" s="231" t="str">
        <f t="shared" si="3"/>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2"/>
        <v>GoldInner Mongolia Qiankun Gold and Silver Refinery Share Co., Ltd.</v>
      </c>
      <c r="K125" s="231" t="str">
        <f t="shared" si="3"/>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2"/>
        <v>GoldInternational Precious Metal Refiners</v>
      </c>
      <c r="K126" s="231" t="str">
        <f t="shared" si="3"/>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2"/>
        <v>GoldIshifuku Metal Industry Co., Ltd.</v>
      </c>
      <c r="K127" s="231" t="str">
        <f t="shared" si="3"/>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2"/>
        <v>GoldIstanbul Gold Refinery</v>
      </c>
      <c r="K128" s="231" t="str">
        <f t="shared" si="3"/>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2"/>
        <v>GoldItalpreziosi</v>
      </c>
      <c r="K129" s="231" t="str">
        <f t="shared" si="3"/>
        <v>GoldItalpreziosi</v>
      </c>
    </row>
    <row r="130" spans="1:11">
      <c r="A130" s="209" t="s">
        <v>1119</v>
      </c>
      <c r="B130" s="209" t="s">
        <v>13822</v>
      </c>
      <c r="C130" s="209" t="s">
        <v>13822</v>
      </c>
      <c r="D130" s="209" t="s">
        <v>1096</v>
      </c>
      <c r="E130" s="209" t="s">
        <v>13837</v>
      </c>
      <c r="F130" s="283" t="s">
        <v>13217</v>
      </c>
      <c r="H130" s="209" t="s">
        <v>13849</v>
      </c>
      <c r="I130" s="209" t="s">
        <v>6180</v>
      </c>
      <c r="J130" s="231" t="str">
        <f t="shared" si="2"/>
        <v>GoldJALAN &amp; Company</v>
      </c>
      <c r="K130" s="231" t="str">
        <f t="shared" si="3"/>
        <v>GoldJALAN &amp; Company</v>
      </c>
    </row>
    <row r="131" spans="1:11">
      <c r="A131" s="209" t="s">
        <v>1119</v>
      </c>
      <c r="B131" s="209" t="s">
        <v>898</v>
      </c>
      <c r="C131" s="209" t="s">
        <v>898</v>
      </c>
      <c r="D131" s="209" t="s">
        <v>1098</v>
      </c>
      <c r="E131" s="209" t="s">
        <v>680</v>
      </c>
      <c r="F131" s="283" t="s">
        <v>13217</v>
      </c>
      <c r="H131" s="209" t="s">
        <v>1588</v>
      </c>
      <c r="I131" s="209" t="s">
        <v>1588</v>
      </c>
      <c r="J131" s="231" t="str">
        <f t="shared" si="2"/>
        <v>GoldJapan Mint</v>
      </c>
      <c r="K131" s="231" t="str">
        <f t="shared" si="3"/>
        <v>GoldJapan Mint</v>
      </c>
    </row>
    <row r="132" spans="1:11">
      <c r="A132" s="209" t="s">
        <v>1119</v>
      </c>
      <c r="B132" s="209" t="s">
        <v>1590</v>
      </c>
      <c r="C132" s="209" t="s">
        <v>2282</v>
      </c>
      <c r="D132" s="209" t="s">
        <v>1090</v>
      </c>
      <c r="E132" s="209" t="s">
        <v>681</v>
      </c>
      <c r="F132" s="283" t="s">
        <v>13217</v>
      </c>
      <c r="H132" s="209" t="s">
        <v>1589</v>
      </c>
      <c r="I132" s="209" t="s">
        <v>13596</v>
      </c>
      <c r="J132" s="231" t="str">
        <f t="shared" si="2"/>
        <v>GoldJCC</v>
      </c>
      <c r="K132" s="231" t="str">
        <f t="shared" si="3"/>
        <v>GoldJCC</v>
      </c>
    </row>
    <row r="133" spans="1:11">
      <c r="A133" s="209" t="s">
        <v>1119</v>
      </c>
      <c r="B133" s="209" t="s">
        <v>2282</v>
      </c>
      <c r="C133" s="209" t="s">
        <v>2282</v>
      </c>
      <c r="D133" s="209" t="s">
        <v>1090</v>
      </c>
      <c r="E133" s="209" t="s">
        <v>681</v>
      </c>
      <c r="F133" s="283" t="s">
        <v>13217</v>
      </c>
      <c r="H133" s="209" t="s">
        <v>1589</v>
      </c>
      <c r="I133" s="209" t="s">
        <v>13596</v>
      </c>
      <c r="J133" s="231" t="str">
        <f t="shared" si="2"/>
        <v>GoldJiangxi Copper Co., Ltd.</v>
      </c>
      <c r="K133" s="231" t="str">
        <f t="shared" si="3"/>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2"/>
        <v>GoldJohnson Matthey Canada</v>
      </c>
      <c r="K134" s="231" t="str">
        <f t="shared" si="3"/>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4">A135&amp;B135</f>
        <v>GoldJohnson Matthey Inc.</v>
      </c>
      <c r="K135" s="231" t="str">
        <f t="shared" ref="K135:K198" si="5">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4"/>
        <v>GoldJohnson Matthey Inc. (USA)</v>
      </c>
      <c r="K136" s="231" t="str">
        <f t="shared" si="5"/>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4"/>
        <v>GoldJohnson Matthey Limited</v>
      </c>
      <c r="K137" s="231" t="str">
        <f t="shared" si="5"/>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4"/>
        <v>GoldJSC Ekaterinburg Non-Ferrous Metal Processing Plant</v>
      </c>
      <c r="K138" s="231" t="str">
        <f t="shared" si="5"/>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4"/>
        <v>GoldJSC Novosibirsk Refinery</v>
      </c>
      <c r="K139" s="231" t="str">
        <f t="shared" si="5"/>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4"/>
        <v>GoldJSC Uralelectromed</v>
      </c>
      <c r="K140" s="231" t="str">
        <f t="shared" si="5"/>
        <v>GoldJSC Uralelectromed</v>
      </c>
    </row>
    <row r="141" spans="1:11">
      <c r="A141" s="209" t="s">
        <v>1119</v>
      </c>
      <c r="B141" s="209" t="s">
        <v>53</v>
      </c>
      <c r="C141" s="209" t="s">
        <v>53</v>
      </c>
      <c r="D141" s="209" t="s">
        <v>1098</v>
      </c>
      <c r="E141" s="209" t="s">
        <v>686</v>
      </c>
      <c r="F141" s="283" t="s">
        <v>13217</v>
      </c>
      <c r="H141" s="209" t="s">
        <v>2345</v>
      </c>
      <c r="I141" s="209" t="s">
        <v>6642</v>
      </c>
      <c r="J141" s="231" t="str">
        <f t="shared" si="4"/>
        <v>GoldJX Nippon Mining &amp; Metals Co., Ltd.</v>
      </c>
      <c r="K141" s="231" t="str">
        <f t="shared" si="5"/>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4"/>
        <v>GoldK.A. Rasmussen</v>
      </c>
      <c r="K142" s="231" t="str">
        <f t="shared" si="5"/>
        <v>GoldK.A. Rasmussen</v>
      </c>
    </row>
    <row r="143" spans="1:11">
      <c r="A143" s="209" t="s">
        <v>1119</v>
      </c>
      <c r="B143" s="209" t="s">
        <v>1697</v>
      </c>
      <c r="C143" s="209" t="s">
        <v>1697</v>
      </c>
      <c r="D143" s="209" t="s">
        <v>1082</v>
      </c>
      <c r="E143" s="209" t="s">
        <v>1698</v>
      </c>
      <c r="F143" s="283" t="s">
        <v>13217</v>
      </c>
      <c r="H143" s="209" t="s">
        <v>1694</v>
      </c>
      <c r="I143" s="209" t="s">
        <v>2555</v>
      </c>
      <c r="J143" s="231" t="str">
        <f t="shared" si="4"/>
        <v>GoldKaloti Precious Metals</v>
      </c>
      <c r="K143" s="231" t="str">
        <f t="shared" si="5"/>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4"/>
        <v>GoldKazakhmys Smelting LLC</v>
      </c>
      <c r="K144" s="231" t="str">
        <f t="shared" si="5"/>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4"/>
        <v>GoldKazzinc</v>
      </c>
      <c r="K145" s="231" t="str">
        <f t="shared" si="5"/>
        <v>GoldKazzinc</v>
      </c>
    </row>
    <row r="146" spans="1:11">
      <c r="A146" s="209" t="s">
        <v>1119</v>
      </c>
      <c r="B146" s="209" t="s">
        <v>688</v>
      </c>
      <c r="C146" s="209" t="s">
        <v>688</v>
      </c>
      <c r="D146" s="209" t="s">
        <v>2415</v>
      </c>
      <c r="E146" s="209" t="s">
        <v>689</v>
      </c>
      <c r="F146" s="283" t="s">
        <v>13217</v>
      </c>
      <c r="H146" s="209" t="s">
        <v>1599</v>
      </c>
      <c r="I146" s="209" t="s">
        <v>1592</v>
      </c>
      <c r="J146" s="231" t="str">
        <f t="shared" si="4"/>
        <v>GoldKennecott Utah Copper LLC</v>
      </c>
      <c r="K146" s="231" t="str">
        <f t="shared" si="5"/>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4"/>
        <v>GoldKGHM Polska Miedz S.A.</v>
      </c>
      <c r="K147" s="231" t="str">
        <f t="shared" si="5"/>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4"/>
        <v>GoldKGHM Polska Miedz Spolka Akcyjna</v>
      </c>
      <c r="K148" s="231" t="str">
        <f t="shared" si="5"/>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4"/>
        <v>GoldKGHM Polska Miedź Spółka Akcyjna</v>
      </c>
      <c r="K149" s="231" t="str">
        <f t="shared" si="5"/>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4"/>
        <v>GoldKochi daiicihi Yamaminami plant</v>
      </c>
      <c r="K150" s="231" t="str">
        <f t="shared" si="5"/>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4"/>
        <v>GoldKojima Chemicals Co., Ltd.</v>
      </c>
      <c r="K151" s="231" t="str">
        <f t="shared" si="5"/>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4"/>
        <v>GoldKojima Kagaku Yakuhin Co., Ltd</v>
      </c>
      <c r="K152" s="231" t="str">
        <f t="shared" si="5"/>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4"/>
        <v>GoldKombinat Gorniczo Hutniczy Miedz Polska Miedz S.A.</v>
      </c>
      <c r="K153" s="231" t="str">
        <f t="shared" si="5"/>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4"/>
        <v>GoldKorea Zinc Co., Ltd.</v>
      </c>
      <c r="K154" s="231" t="str">
        <f t="shared" si="5"/>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4"/>
        <v>GoldKori Plant</v>
      </c>
      <c r="K155" s="231" t="str">
        <f t="shared" si="5"/>
        <v>GoldKori Plant</v>
      </c>
    </row>
    <row r="156" spans="1:11">
      <c r="A156" s="209" t="s">
        <v>1119</v>
      </c>
      <c r="B156" s="209" t="s">
        <v>15034</v>
      </c>
      <c r="C156" s="209" t="s">
        <v>896</v>
      </c>
      <c r="D156" s="209" t="s">
        <v>1098</v>
      </c>
      <c r="E156" s="209" t="s">
        <v>667</v>
      </c>
      <c r="F156" s="283" t="s">
        <v>13217</v>
      </c>
      <c r="H156" s="209" t="s">
        <v>1567</v>
      </c>
      <c r="I156" s="209" t="s">
        <v>1568</v>
      </c>
      <c r="J156" s="231" t="str">
        <f t="shared" si="4"/>
        <v>GoldKosak Seiren</v>
      </c>
      <c r="K156" s="231" t="str">
        <f t="shared" si="5"/>
        <v>GoldKosak Seiren</v>
      </c>
    </row>
    <row r="157" spans="1:11">
      <c r="A157" s="209" t="s">
        <v>1119</v>
      </c>
      <c r="B157" s="209" t="s">
        <v>12897</v>
      </c>
      <c r="C157" s="209" t="s">
        <v>688</v>
      </c>
      <c r="D157" s="209" t="s">
        <v>2415</v>
      </c>
      <c r="E157" s="209" t="s">
        <v>689</v>
      </c>
      <c r="F157" s="283" t="s">
        <v>13217</v>
      </c>
      <c r="H157" s="209" t="s">
        <v>1599</v>
      </c>
      <c r="I157" s="209" t="s">
        <v>1592</v>
      </c>
      <c r="J157" s="231" t="str">
        <f t="shared" si="4"/>
        <v>GoldKUC</v>
      </c>
      <c r="K157" s="231" t="str">
        <f t="shared" si="5"/>
        <v>GoldKUC</v>
      </c>
    </row>
    <row r="158" spans="1:11">
      <c r="A158" s="209" t="s">
        <v>1119</v>
      </c>
      <c r="B158" s="209" t="s">
        <v>13823</v>
      </c>
      <c r="C158" s="209" t="s">
        <v>13823</v>
      </c>
      <c r="D158" s="209" t="s">
        <v>1096</v>
      </c>
      <c r="E158" s="209" t="s">
        <v>13838</v>
      </c>
      <c r="F158" s="283" t="s">
        <v>13217</v>
      </c>
      <c r="H158" s="209" t="s">
        <v>13850</v>
      </c>
      <c r="I158" s="209" t="s">
        <v>15553</v>
      </c>
      <c r="J158" s="231" t="str">
        <f t="shared" si="4"/>
        <v>GoldKundan Care Products Ltd.</v>
      </c>
      <c r="K158" s="231" t="str">
        <f t="shared" si="5"/>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4"/>
        <v>GoldKyrgyzaltyn JSC</v>
      </c>
      <c r="K159" s="231" t="str">
        <f t="shared" si="5"/>
        <v>GoldKyrgyzaltyn JSC</v>
      </c>
    </row>
    <row r="160" spans="1:11">
      <c r="A160" s="209" t="s">
        <v>1119</v>
      </c>
      <c r="B160" s="209" t="s">
        <v>2489</v>
      </c>
      <c r="C160" s="209" t="s">
        <v>2489</v>
      </c>
      <c r="D160" s="209" t="s">
        <v>873</v>
      </c>
      <c r="E160" s="209" t="s">
        <v>2490</v>
      </c>
      <c r="F160" s="283" t="s">
        <v>13217</v>
      </c>
      <c r="H160" s="209" t="s">
        <v>12386</v>
      </c>
      <c r="I160" s="209" t="s">
        <v>9928</v>
      </c>
      <c r="J160" s="231" t="str">
        <f t="shared" si="4"/>
        <v>GoldKyshtym Copper-Electrolytic Plant ZAO</v>
      </c>
      <c r="K160" s="231" t="str">
        <f t="shared" si="5"/>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4"/>
        <v>GoldLa Caridad</v>
      </c>
      <c r="K161" s="231" t="str">
        <f t="shared" si="5"/>
        <v>GoldLa Caridad</v>
      </c>
    </row>
    <row r="162" spans="1:11">
      <c r="A162" s="209" t="s">
        <v>1119</v>
      </c>
      <c r="B162" s="209" t="s">
        <v>23</v>
      </c>
      <c r="C162" s="209" t="s">
        <v>15020</v>
      </c>
      <c r="D162" s="209" t="s">
        <v>1090</v>
      </c>
      <c r="E162" s="209" t="s">
        <v>728</v>
      </c>
      <c r="F162" s="283" t="s">
        <v>13217</v>
      </c>
      <c r="H162" s="209" t="s">
        <v>1647</v>
      </c>
      <c r="I162" s="209" t="s">
        <v>13597</v>
      </c>
      <c r="J162" s="231" t="str">
        <f t="shared" si="4"/>
        <v>GoldLAIZHOU SHANDONG</v>
      </c>
      <c r="K162" s="231" t="str">
        <f t="shared" si="5"/>
        <v>GoldLAIZHOU SHANDONG</v>
      </c>
    </row>
    <row r="163" spans="1:11">
      <c r="A163" s="209" t="s">
        <v>1119</v>
      </c>
      <c r="B163" s="209" t="s">
        <v>2286</v>
      </c>
      <c r="C163" s="209" t="s">
        <v>2286</v>
      </c>
      <c r="D163" s="209" t="s">
        <v>874</v>
      </c>
      <c r="E163" s="209" t="s">
        <v>692</v>
      </c>
      <c r="F163" s="283" t="s">
        <v>13217</v>
      </c>
      <c r="H163" s="209" t="s">
        <v>1603</v>
      </c>
      <c r="I163" s="209" t="s">
        <v>10065</v>
      </c>
      <c r="J163" s="231" t="str">
        <f t="shared" si="4"/>
        <v>GoldL'azurde Company For Jewelry</v>
      </c>
      <c r="K163" s="231" t="str">
        <f t="shared" si="5"/>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4"/>
        <v>GoldLinBao Gold Mining</v>
      </c>
      <c r="K164" s="231" t="str">
        <f t="shared" si="5"/>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4"/>
        <v>GoldLingbao Gold Co., Ltd.</v>
      </c>
      <c r="K165" s="231" t="str">
        <f t="shared" si="5"/>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4"/>
        <v>GoldLingbao Jinyuan Tonghui Refinery Co., Ltd.</v>
      </c>
      <c r="K166" s="231" t="str">
        <f t="shared" si="5"/>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4"/>
        <v>GoldL'Orfebre S.A.</v>
      </c>
      <c r="K167" s="231" t="str">
        <f t="shared" si="5"/>
        <v>GoldL'Orfebre S.A.</v>
      </c>
    </row>
    <row r="168" spans="1:11">
      <c r="A168" s="209" t="s">
        <v>1119</v>
      </c>
      <c r="B168" s="209" t="s">
        <v>15791</v>
      </c>
      <c r="C168" s="209" t="s">
        <v>15791</v>
      </c>
      <c r="D168" s="209" t="s">
        <v>1101</v>
      </c>
      <c r="E168" s="209" t="s">
        <v>694</v>
      </c>
      <c r="F168" s="283" t="s">
        <v>13217</v>
      </c>
      <c r="H168" s="209" t="s">
        <v>1605</v>
      </c>
      <c r="I168" s="209" t="s">
        <v>12845</v>
      </c>
      <c r="J168" s="231" t="str">
        <f t="shared" si="4"/>
        <v>GoldLS MnM Inc.</v>
      </c>
      <c r="K168" s="231" t="str">
        <f t="shared" si="5"/>
        <v>GoldLS MnM Inc.</v>
      </c>
    </row>
    <row r="169" spans="1:11">
      <c r="A169" s="209" t="s">
        <v>1119</v>
      </c>
      <c r="B169" s="209" t="s">
        <v>13818</v>
      </c>
      <c r="C169" s="209" t="s">
        <v>13818</v>
      </c>
      <c r="D169" s="209" t="s">
        <v>1101</v>
      </c>
      <c r="E169" s="209" t="s">
        <v>2481</v>
      </c>
      <c r="F169" s="283" t="s">
        <v>13217</v>
      </c>
      <c r="H169" s="209" t="s">
        <v>2482</v>
      </c>
      <c r="I169" s="209" t="s">
        <v>12844</v>
      </c>
      <c r="J169" s="231" t="str">
        <f t="shared" si="4"/>
        <v>GoldLT Metal Ltd.</v>
      </c>
      <c r="K169" s="231" t="str">
        <f t="shared" si="5"/>
        <v>GoldLT Metal Ltd.</v>
      </c>
    </row>
    <row r="170" spans="1:11">
      <c r="A170" s="209" t="s">
        <v>1119</v>
      </c>
      <c r="B170" s="209" t="s">
        <v>1606</v>
      </c>
      <c r="C170" s="209" t="s">
        <v>1606</v>
      </c>
      <c r="D170" s="209" t="s">
        <v>1090</v>
      </c>
      <c r="E170" s="209" t="s">
        <v>696</v>
      </c>
      <c r="F170" s="283" t="s">
        <v>13217</v>
      </c>
      <c r="H170" s="209" t="s">
        <v>1607</v>
      </c>
      <c r="I170" s="209" t="s">
        <v>13598</v>
      </c>
      <c r="J170" s="231" t="str">
        <f t="shared" si="4"/>
        <v>GoldLuoyang Zijin Yinhui Gold Refinery Co., Ltd.</v>
      </c>
      <c r="K170" s="231" t="str">
        <f t="shared" si="5"/>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4"/>
        <v>GoldLuoyang Zijin Yinhui Gold Smelting</v>
      </c>
      <c r="K171" s="231" t="str">
        <f t="shared" si="5"/>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4"/>
        <v>GoldLuoyang Zijin Yinhui Metal Smelt Co Ltd</v>
      </c>
      <c r="K172" s="231" t="str">
        <f t="shared" si="5"/>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4"/>
        <v>GoldMarsam Metals</v>
      </c>
      <c r="K173" s="231" t="str">
        <f t="shared" si="5"/>
        <v>GoldMarsam Metals</v>
      </c>
    </row>
    <row r="174" spans="1:11">
      <c r="A174" s="209" t="s">
        <v>1119</v>
      </c>
      <c r="B174" s="209" t="s">
        <v>900</v>
      </c>
      <c r="C174" s="209" t="s">
        <v>900</v>
      </c>
      <c r="D174" s="209" t="s">
        <v>2415</v>
      </c>
      <c r="E174" s="209" t="s">
        <v>697</v>
      </c>
      <c r="F174" s="283" t="s">
        <v>13217</v>
      </c>
      <c r="H174" s="209" t="s">
        <v>1608</v>
      </c>
      <c r="I174" s="209" t="s">
        <v>1609</v>
      </c>
      <c r="J174" s="231" t="str">
        <f t="shared" si="4"/>
        <v>GoldMaterion</v>
      </c>
      <c r="K174" s="231" t="str">
        <f t="shared" si="5"/>
        <v>GoldMaterion</v>
      </c>
    </row>
    <row r="175" spans="1:11">
      <c r="A175" s="209" t="s">
        <v>1119</v>
      </c>
      <c r="B175" s="209" t="s">
        <v>54</v>
      </c>
      <c r="C175" s="209" t="s">
        <v>54</v>
      </c>
      <c r="D175" s="209" t="s">
        <v>1098</v>
      </c>
      <c r="E175" s="209" t="s">
        <v>698</v>
      </c>
      <c r="F175" s="283" t="s">
        <v>13217</v>
      </c>
      <c r="H175" s="209" t="s">
        <v>1610</v>
      </c>
      <c r="I175" s="209" t="s">
        <v>1573</v>
      </c>
      <c r="J175" s="231" t="str">
        <f t="shared" si="4"/>
        <v>GoldMatsuda Sangyo Co., Ltd.</v>
      </c>
      <c r="K175" s="231" t="str">
        <f t="shared" si="5"/>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4"/>
        <v>GoldMD Overseas</v>
      </c>
      <c r="K176" s="231" t="str">
        <f t="shared" si="5"/>
        <v>GoldMD Overseas</v>
      </c>
    </row>
    <row r="177" spans="1:11">
      <c r="A177" s="209" t="s">
        <v>1119</v>
      </c>
      <c r="B177" s="209" t="s">
        <v>25</v>
      </c>
      <c r="C177" s="209" t="s">
        <v>55</v>
      </c>
      <c r="D177" s="209" t="s">
        <v>1098</v>
      </c>
      <c r="E177" s="209" t="s">
        <v>725</v>
      </c>
      <c r="F177" s="283" t="s">
        <v>13217</v>
      </c>
      <c r="H177" s="209" t="s">
        <v>1654</v>
      </c>
      <c r="I177" s="209" t="s">
        <v>2196</v>
      </c>
      <c r="J177" s="231" t="str">
        <f t="shared" si="4"/>
        <v>GoldMEM(Sumitomo Group)</v>
      </c>
      <c r="K177" s="231" t="str">
        <f t="shared" si="5"/>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4"/>
        <v>GoldMetal Concentrators SA (Pty) Ltd.</v>
      </c>
      <c r="K178" s="231" t="str">
        <f t="shared" si="5"/>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4"/>
        <v>GoldMetal?rgica Met-Mex Pe?oles, S.A. de C.V</v>
      </c>
      <c r="K179" s="231" t="str">
        <f t="shared" si="5"/>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4"/>
        <v>GoldMetallix Refining Inc.</v>
      </c>
      <c r="K180" s="231" t="str">
        <f t="shared" si="5"/>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4"/>
        <v>GoldMetallurgie Hoboken Overpelt</v>
      </c>
      <c r="K181" s="231" t="str">
        <f t="shared" si="5"/>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4"/>
        <v>GoldMetalor Switzerland</v>
      </c>
      <c r="K182" s="231" t="str">
        <f t="shared" si="5"/>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4"/>
        <v>GoldMetalor Technologies (Hong Kong) Ltd.</v>
      </c>
      <c r="K183" s="231" t="str">
        <f t="shared" si="5"/>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4"/>
        <v>GoldMetalor Technologies (Singapore) Pte., Ltd.</v>
      </c>
      <c r="K184" s="231" t="str">
        <f t="shared" si="5"/>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4"/>
        <v>GoldMetalor Technologies (Suzhou) Ltd.</v>
      </c>
      <c r="K185" s="231" t="str">
        <f t="shared" si="5"/>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4"/>
        <v>GoldMetalor Technologies S.A.</v>
      </c>
      <c r="K186" s="231" t="str">
        <f t="shared" si="5"/>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4"/>
        <v>GoldMetalor USA Refining Corporation</v>
      </c>
      <c r="K187" s="231" t="str">
        <f t="shared" si="5"/>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4"/>
        <v>GoldMetalurgica Met-Mex Penoles S.A. De C.V.</v>
      </c>
      <c r="K188" s="231" t="str">
        <f t="shared" si="5"/>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4"/>
        <v>GoldMetalúrgica Met-Mex Peñoles S.A. De C.V.</v>
      </c>
      <c r="K189" s="231" t="str">
        <f t="shared" si="5"/>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4"/>
        <v>GoldMet-Mex Pe?oles, S.A.</v>
      </c>
      <c r="K190" s="231" t="str">
        <f t="shared" si="5"/>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4"/>
        <v>GoldMet-Mex Penoles, S.A.</v>
      </c>
      <c r="K191" s="231" t="str">
        <f t="shared" si="5"/>
        <v>GoldMet-Mex Penoles, S.A.</v>
      </c>
    </row>
    <row r="192" spans="1:11">
      <c r="A192" s="209" t="s">
        <v>1119</v>
      </c>
      <c r="B192" s="209" t="s">
        <v>1153</v>
      </c>
      <c r="C192" s="209" t="s">
        <v>1153</v>
      </c>
      <c r="D192" s="209" t="s">
        <v>1098</v>
      </c>
      <c r="E192" s="209" t="s">
        <v>704</v>
      </c>
      <c r="F192" s="283" t="s">
        <v>13217</v>
      </c>
      <c r="H192" s="209" t="s">
        <v>1534</v>
      </c>
      <c r="I192" s="209" t="s">
        <v>1534</v>
      </c>
      <c r="J192" s="231" t="str">
        <f t="shared" si="4"/>
        <v>GoldMitsubishi Materials Corporation</v>
      </c>
      <c r="K192" s="231" t="str">
        <f t="shared" si="5"/>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4"/>
        <v>GoldMitsui Kinzoku Co., Ltd.</v>
      </c>
      <c r="K193" s="231" t="str">
        <f t="shared" si="5"/>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4"/>
        <v>GoldMitsui Mining and Smelting Co., Ltd.</v>
      </c>
      <c r="K194" s="231" t="str">
        <f t="shared" si="5"/>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4"/>
        <v>GoldMKS PAMP SA</v>
      </c>
      <c r="K195" s="231" t="str">
        <f t="shared" si="5"/>
        <v>GoldMKS PAMP SA</v>
      </c>
    </row>
    <row r="196" spans="1:11">
      <c r="A196" s="209" t="s">
        <v>1119</v>
      </c>
      <c r="B196" s="209" t="s">
        <v>2155</v>
      </c>
      <c r="C196" s="209" t="s">
        <v>2155</v>
      </c>
      <c r="D196" s="209" t="s">
        <v>1096</v>
      </c>
      <c r="E196" s="209" t="s">
        <v>1379</v>
      </c>
      <c r="F196" s="283" t="s">
        <v>13217</v>
      </c>
      <c r="H196" s="209" t="s">
        <v>1685</v>
      </c>
      <c r="I196" s="209" t="s">
        <v>15545</v>
      </c>
      <c r="J196" s="231" t="str">
        <f t="shared" si="4"/>
        <v>GoldMMTC-PAMP India Pvt., Ltd.</v>
      </c>
      <c r="K196" s="231" t="str">
        <f t="shared" si="5"/>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4"/>
        <v>GoldModeltech Sdn Bhd</v>
      </c>
      <c r="K197" s="231" t="str">
        <f t="shared" si="5"/>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4"/>
        <v>GoldMorris and Watson</v>
      </c>
      <c r="K198" s="231" t="str">
        <f t="shared" si="5"/>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6">A199&amp;B199</f>
        <v>GoldMoscow Special Alloys Processing Plant</v>
      </c>
      <c r="K199" s="231" t="str">
        <f t="shared" ref="K199:K262" si="7">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6"/>
        <v>GoldNadir Metal Rafineri San. Ve Tic. A.S.</v>
      </c>
      <c r="K200" s="231" t="str">
        <f t="shared" si="7"/>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6"/>
        <v>GoldNadir Metal Rafineri San. Ve Tic. A.Ş.</v>
      </c>
      <c r="K201" s="231" t="str">
        <f t="shared" si="7"/>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6"/>
        <v>GoldNavoi Mining and Metallurgical Combinat</v>
      </c>
      <c r="K202" s="231" t="str">
        <f t="shared" si="7"/>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6"/>
        <v>GoldNH Recytech Company</v>
      </c>
      <c r="K203" s="231" t="str">
        <f t="shared" si="7"/>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6"/>
        <v>GoldNihon Material Co., Ltd.</v>
      </c>
      <c r="K204" s="231" t="str">
        <f t="shared" si="7"/>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6"/>
        <v>GoldNOBLE METAL SERVICES</v>
      </c>
      <c r="K205" s="231" t="str">
        <f t="shared" si="7"/>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6"/>
        <v>GoldNohon Material Corporation</v>
      </c>
      <c r="K206" s="231" t="str">
        <f t="shared" si="7"/>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6"/>
        <v>GoldNorddeutsche Affinererie AG</v>
      </c>
      <c r="K207" s="231" t="str">
        <f t="shared" si="7"/>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6"/>
        <v>GoldOgussa Osterreichische Gold- und Silber-Scheideanstalt GmbH</v>
      </c>
      <c r="K208" s="231" t="str">
        <f t="shared" si="7"/>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6"/>
        <v>GoldÖgussa Österreichische Gold- und Silber-Scheideanstalt GmbH</v>
      </c>
      <c r="K209" s="231" t="str">
        <f t="shared" si="7"/>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6"/>
        <v>GoldOhura Precious Metal Industry Co., Ltd.</v>
      </c>
      <c r="K210" s="231" t="str">
        <f t="shared" si="7"/>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6"/>
        <v>GoldOJSC "The Gulidov Krasnoyarsk Non-Ferrous Metals Plant" (OJSC Krastsvetmet)</v>
      </c>
      <c r="K211" s="231" t="str">
        <f t="shared" si="7"/>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6"/>
        <v>GoldOJSC Krastsvetmet</v>
      </c>
      <c r="K212" s="231" t="str">
        <f t="shared" si="7"/>
        <v>GoldOJSC Krastsvetmet</v>
      </c>
    </row>
    <row r="213" spans="1:11">
      <c r="A213" s="209" t="s">
        <v>1119</v>
      </c>
      <c r="B213" s="209" t="s">
        <v>2183</v>
      </c>
      <c r="C213" s="209" t="s">
        <v>15029</v>
      </c>
      <c r="D213" s="209" t="s">
        <v>873</v>
      </c>
      <c r="E213" s="209" t="s">
        <v>668</v>
      </c>
      <c r="F213" s="283" t="s">
        <v>13217</v>
      </c>
      <c r="H213" s="209" t="s">
        <v>1574</v>
      </c>
      <c r="I213" s="209" t="s">
        <v>9983</v>
      </c>
      <c r="J213" s="231" t="str">
        <f t="shared" si="6"/>
        <v>GoldOJSC Novosibirsk Refinery</v>
      </c>
      <c r="K213" s="231" t="str">
        <f t="shared" si="7"/>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6"/>
        <v>GoldPAMP S.A.</v>
      </c>
      <c r="K214" s="231" t="str">
        <f t="shared" si="7"/>
        <v>GoldPAMP S.A.</v>
      </c>
    </row>
    <row r="215" spans="1:11">
      <c r="A215" s="209" t="s">
        <v>1119</v>
      </c>
      <c r="B215" s="209" t="s">
        <v>2204</v>
      </c>
      <c r="C215" s="209" t="s">
        <v>53</v>
      </c>
      <c r="D215" s="209" t="s">
        <v>1098</v>
      </c>
      <c r="E215" s="209" t="s">
        <v>686</v>
      </c>
      <c r="F215" s="283" t="s">
        <v>13217</v>
      </c>
      <c r="H215" s="209" t="s">
        <v>2345</v>
      </c>
      <c r="I215" s="209" t="s">
        <v>6642</v>
      </c>
      <c r="J215" s="231" t="str">
        <f t="shared" si="6"/>
        <v>GoldPan Pacific Copper Co Ltd.</v>
      </c>
      <c r="K215" s="231" t="str">
        <f t="shared" si="7"/>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6"/>
        <v>GoldPease &amp; Curren</v>
      </c>
      <c r="K216" s="231" t="str">
        <f t="shared" si="7"/>
        <v>GoldPease &amp; Curren</v>
      </c>
    </row>
    <row r="217" spans="1:11">
      <c r="A217" s="209" t="s">
        <v>1119</v>
      </c>
      <c r="B217" s="209" t="s">
        <v>2140</v>
      </c>
      <c r="C217" s="209" t="s">
        <v>2140</v>
      </c>
      <c r="D217" s="209" t="s">
        <v>1090</v>
      </c>
      <c r="E217" s="209" t="s">
        <v>713</v>
      </c>
      <c r="F217" s="283" t="s">
        <v>13217</v>
      </c>
      <c r="H217" s="209" t="s">
        <v>2461</v>
      </c>
      <c r="I217" s="209" t="s">
        <v>13597</v>
      </c>
      <c r="J217" s="231" t="str">
        <f t="shared" si="6"/>
        <v>GoldPenglai Penggang Gold Industry Co., Ltd.</v>
      </c>
      <c r="K217" s="231" t="str">
        <f t="shared" si="7"/>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6"/>
        <v>GoldPerth Mint</v>
      </c>
      <c r="K218" s="231" t="str">
        <f t="shared" si="7"/>
        <v>GoldPerth Mint</v>
      </c>
    </row>
    <row r="219" spans="1:11">
      <c r="A219" s="209" t="s">
        <v>1119</v>
      </c>
      <c r="B219" s="209" t="s">
        <v>1675</v>
      </c>
      <c r="C219" s="209" t="s">
        <v>2471</v>
      </c>
      <c r="D219" s="209" t="s">
        <v>1083</v>
      </c>
      <c r="E219" s="209" t="s">
        <v>735</v>
      </c>
      <c r="F219" s="283" t="s">
        <v>13217</v>
      </c>
      <c r="H219" s="209" t="s">
        <v>1671</v>
      </c>
      <c r="I219" s="209" t="s">
        <v>1672</v>
      </c>
      <c r="J219" s="231" t="str">
        <f t="shared" si="6"/>
        <v>GoldPerth Mint (ANZ)</v>
      </c>
      <c r="K219" s="231" t="str">
        <f t="shared" si="7"/>
        <v>GoldPerth Mint (ANZ)</v>
      </c>
    </row>
    <row r="220" spans="1:11">
      <c r="A220" s="209" t="s">
        <v>1119</v>
      </c>
      <c r="B220" s="209" t="s">
        <v>2496</v>
      </c>
      <c r="C220" s="209" t="s">
        <v>2496</v>
      </c>
      <c r="D220" s="209" t="s">
        <v>1089</v>
      </c>
      <c r="E220" s="209" t="s">
        <v>2497</v>
      </c>
      <c r="F220" s="283" t="s">
        <v>13217</v>
      </c>
      <c r="H220" s="209" t="s">
        <v>2498</v>
      </c>
      <c r="I220" s="209" t="s">
        <v>2499</v>
      </c>
      <c r="J220" s="231" t="str">
        <f t="shared" si="6"/>
        <v>GoldPlanta Recuperadora de Metales SpA</v>
      </c>
      <c r="K220" s="231" t="str">
        <f t="shared" si="7"/>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6"/>
        <v>GoldPrioksky Plant of Non-Ferrous Metals</v>
      </c>
      <c r="K221" s="231" t="str">
        <f t="shared" si="7"/>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6"/>
        <v>GoldProduits Artistiques de Métaux</v>
      </c>
      <c r="K222" s="231" t="str">
        <f t="shared" si="7"/>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6"/>
        <v>GoldPT Aneka Tambang (Persero) Tbk</v>
      </c>
      <c r="K223" s="231" t="str">
        <f t="shared" si="7"/>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6"/>
        <v>GoldPX Precinox S.A.</v>
      </c>
      <c r="K224" s="231" t="str">
        <f t="shared" si="7"/>
        <v>GoldPX Precinox S.A.</v>
      </c>
    </row>
    <row r="225" spans="1:11">
      <c r="A225" s="209" t="s">
        <v>1119</v>
      </c>
      <c r="B225" s="209" t="s">
        <v>2297</v>
      </c>
      <c r="C225" s="209" t="s">
        <v>12410</v>
      </c>
      <c r="D225" s="209" t="s">
        <v>1088</v>
      </c>
      <c r="E225" s="209" t="s">
        <v>716</v>
      </c>
      <c r="F225" s="283" t="s">
        <v>13217</v>
      </c>
      <c r="H225" s="209" t="s">
        <v>1634</v>
      </c>
      <c r="I225" s="209" t="s">
        <v>1615</v>
      </c>
      <c r="J225" s="231" t="str">
        <f t="shared" si="6"/>
        <v>GoldPX Précinox S.A.</v>
      </c>
      <c r="K225" s="231" t="str">
        <f t="shared" si="7"/>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6"/>
        <v>GoldQG Refining, LLC</v>
      </c>
      <c r="K226" s="231" t="str">
        <f t="shared" si="7"/>
        <v>GoldQG Refining, LLC</v>
      </c>
    </row>
    <row r="227" spans="1:11">
      <c r="A227" s="209" t="s">
        <v>1119</v>
      </c>
      <c r="B227" s="209" t="s">
        <v>2142</v>
      </c>
      <c r="C227" s="209" t="s">
        <v>2142</v>
      </c>
      <c r="D227" s="209" t="s">
        <v>883</v>
      </c>
      <c r="E227" s="209" t="s">
        <v>717</v>
      </c>
      <c r="F227" s="283" t="s">
        <v>13217</v>
      </c>
      <c r="H227" s="209" t="s">
        <v>1635</v>
      </c>
      <c r="I227" s="209" t="s">
        <v>1636</v>
      </c>
      <c r="J227" s="231" t="str">
        <f t="shared" si="6"/>
        <v>GoldRand Refinery (Pty) Ltd.</v>
      </c>
      <c r="K227" s="231" t="str">
        <f t="shared" si="7"/>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6"/>
        <v>GoldRefinery LS-Nikko Copper Inc.</v>
      </c>
      <c r="K228" s="231" t="str">
        <f t="shared" si="7"/>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6"/>
        <v>GoldRefinery of Seemine Gold Co., Ltd.</v>
      </c>
      <c r="K229" s="231" t="str">
        <f t="shared" si="7"/>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6"/>
        <v>GoldRemondis Argentia B.V.</v>
      </c>
      <c r="K230" s="231" t="str">
        <f t="shared" si="7"/>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6"/>
        <v>GoldREMONDIS PMR B.V.</v>
      </c>
      <c r="K231" s="231" t="str">
        <f t="shared" si="7"/>
        <v>GoldREMONDIS PMR B.V.</v>
      </c>
    </row>
    <row r="232" spans="1:11">
      <c r="A232" s="209" t="s">
        <v>1119</v>
      </c>
      <c r="B232" s="209" t="s">
        <v>903</v>
      </c>
      <c r="C232" s="209" t="s">
        <v>903</v>
      </c>
      <c r="D232" s="209" t="s">
        <v>1087</v>
      </c>
      <c r="E232" s="209" t="s">
        <v>718</v>
      </c>
      <c r="F232" s="283" t="s">
        <v>13217</v>
      </c>
      <c r="H232" s="209" t="s">
        <v>1637</v>
      </c>
      <c r="I232" s="209" t="s">
        <v>1595</v>
      </c>
      <c r="J232" s="231" t="str">
        <f t="shared" si="6"/>
        <v>GoldRoyal Canadian Mint</v>
      </c>
      <c r="K232" s="231" t="str">
        <f t="shared" si="7"/>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6"/>
        <v>GoldSAAMP</v>
      </c>
      <c r="K233" s="231" t="str">
        <f t="shared" si="7"/>
        <v>GoldSAAMP</v>
      </c>
    </row>
    <row r="234" spans="1:11">
      <c r="A234" s="209" t="s">
        <v>1119</v>
      </c>
      <c r="B234" s="209" t="s">
        <v>1154</v>
      </c>
      <c r="C234" s="209" t="s">
        <v>1154</v>
      </c>
      <c r="D234" s="209" t="s">
        <v>2415</v>
      </c>
      <c r="E234" s="209" t="s">
        <v>719</v>
      </c>
      <c r="F234" s="283" t="s">
        <v>13217</v>
      </c>
      <c r="H234" s="209" t="s">
        <v>1638</v>
      </c>
      <c r="I234" s="209" t="s">
        <v>1639</v>
      </c>
      <c r="J234" s="231" t="str">
        <f t="shared" si="6"/>
        <v>GoldSabin Metal Corp.</v>
      </c>
      <c r="K234" s="231" t="str">
        <f t="shared" si="7"/>
        <v>GoldSabin Metal Corp.</v>
      </c>
    </row>
    <row r="235" spans="1:11">
      <c r="A235" s="209" t="s">
        <v>1119</v>
      </c>
      <c r="B235" s="209" t="s">
        <v>2500</v>
      </c>
      <c r="C235" s="209" t="s">
        <v>2500</v>
      </c>
      <c r="D235" s="209" t="s">
        <v>1097</v>
      </c>
      <c r="E235" s="209" t="s">
        <v>2501</v>
      </c>
      <c r="F235" s="283" t="s">
        <v>13217</v>
      </c>
      <c r="H235" s="209" t="s">
        <v>1562</v>
      </c>
      <c r="I235" s="209" t="s">
        <v>6448</v>
      </c>
      <c r="J235" s="231" t="str">
        <f t="shared" si="6"/>
        <v>GoldSafimet S.p.A</v>
      </c>
      <c r="K235" s="231" t="str">
        <f t="shared" si="7"/>
        <v>GoldSafimet S.p.A</v>
      </c>
    </row>
    <row r="236" spans="1:11">
      <c r="A236" s="209" t="s">
        <v>1119</v>
      </c>
      <c r="B236" s="209" t="s">
        <v>2300</v>
      </c>
      <c r="C236" s="209" t="s">
        <v>2300</v>
      </c>
      <c r="D236" s="209" t="s">
        <v>13474</v>
      </c>
      <c r="E236" s="209" t="s">
        <v>2301</v>
      </c>
      <c r="F236" s="283" t="s">
        <v>13217</v>
      </c>
      <c r="H236" s="209" t="s">
        <v>2302</v>
      </c>
      <c r="I236" s="209" t="s">
        <v>4133</v>
      </c>
      <c r="J236" s="231" t="str">
        <f t="shared" si="6"/>
        <v>GoldSAFINA A.S.</v>
      </c>
      <c r="K236" s="231" t="str">
        <f t="shared" si="7"/>
        <v>GoldSAFINA A.S.</v>
      </c>
    </row>
    <row r="237" spans="1:11">
      <c r="A237" s="209" t="s">
        <v>1119</v>
      </c>
      <c r="B237" s="209" t="s">
        <v>2283</v>
      </c>
      <c r="C237" s="209" t="s">
        <v>53</v>
      </c>
      <c r="D237" s="209" t="s">
        <v>1098</v>
      </c>
      <c r="E237" s="209" t="s">
        <v>686</v>
      </c>
      <c r="F237" s="283" t="s">
        <v>13217</v>
      </c>
      <c r="H237" s="209" t="s">
        <v>2345</v>
      </c>
      <c r="I237" s="209" t="s">
        <v>6642</v>
      </c>
      <c r="J237" s="231" t="str">
        <f t="shared" si="6"/>
        <v>GoldSaganoseki Smelter &amp; Refinery</v>
      </c>
      <c r="K237" s="231" t="str">
        <f t="shared" si="7"/>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6"/>
        <v>GoldSai Refinery</v>
      </c>
      <c r="K238" s="231" t="str">
        <f t="shared" si="7"/>
        <v>GoldSai Refinery</v>
      </c>
    </row>
    <row r="239" spans="1:11">
      <c r="A239" s="209" t="s">
        <v>1119</v>
      </c>
      <c r="B239" s="209" t="s">
        <v>15490</v>
      </c>
      <c r="C239" s="209" t="s">
        <v>15490</v>
      </c>
      <c r="D239" s="209" t="s">
        <v>1082</v>
      </c>
      <c r="E239" s="209" t="s">
        <v>15491</v>
      </c>
      <c r="F239" s="283" t="s">
        <v>13217</v>
      </c>
      <c r="H239" s="209" t="s">
        <v>1694</v>
      </c>
      <c r="I239" s="209" t="s">
        <v>2555</v>
      </c>
      <c r="J239" s="231" t="str">
        <f t="shared" si="6"/>
        <v>GoldSam Precious Metals</v>
      </c>
      <c r="K239" s="231" t="str">
        <f t="shared" si="7"/>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6"/>
        <v>GoldSamdok Metal</v>
      </c>
      <c r="K240" s="231" t="str">
        <f t="shared" si="7"/>
        <v>GoldSamdok Metal</v>
      </c>
    </row>
    <row r="241" spans="1:11">
      <c r="A241" s="209" t="s">
        <v>1119</v>
      </c>
      <c r="B241" s="209" t="s">
        <v>1396</v>
      </c>
      <c r="C241" s="209" t="s">
        <v>1396</v>
      </c>
      <c r="D241" s="209" t="s">
        <v>1101</v>
      </c>
      <c r="E241" s="209" t="s">
        <v>1397</v>
      </c>
      <c r="F241" s="283" t="s">
        <v>13217</v>
      </c>
      <c r="H241" s="209" t="s">
        <v>1564</v>
      </c>
      <c r="I241" s="209" t="s">
        <v>12844</v>
      </c>
      <c r="J241" s="231" t="str">
        <f t="shared" si="6"/>
        <v>GoldSamduck Precious Metals</v>
      </c>
      <c r="K241" s="231" t="str">
        <f t="shared" si="7"/>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6"/>
        <v>GoldSamwon Metals Corp.</v>
      </c>
      <c r="K242" s="231" t="str">
        <f t="shared" si="7"/>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6"/>
        <v>GoldSD (Samdok) Metal</v>
      </c>
      <c r="K243" s="231" t="str">
        <f t="shared" si="7"/>
        <v>GoldSD (Samdok) Metal</v>
      </c>
    </row>
    <row r="244" spans="1:11">
      <c r="A244" s="209" t="s">
        <v>1119</v>
      </c>
      <c r="B244" s="209" t="s">
        <v>12411</v>
      </c>
      <c r="C244" s="209" t="s">
        <v>12411</v>
      </c>
      <c r="D244" s="209" t="s">
        <v>1092</v>
      </c>
      <c r="E244" s="209" t="s">
        <v>721</v>
      </c>
      <c r="F244" s="283" t="s">
        <v>13217</v>
      </c>
      <c r="H244" s="209" t="s">
        <v>1643</v>
      </c>
      <c r="I244" s="209" t="s">
        <v>4652</v>
      </c>
      <c r="J244" s="231" t="str">
        <f t="shared" si="6"/>
        <v>GoldSEMPSA Joyeria Plateria S.A.</v>
      </c>
      <c r="K244" s="231" t="str">
        <f t="shared" si="7"/>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6"/>
        <v>GoldSEMPSA Joyería Platería S.A.</v>
      </c>
      <c r="K245" s="231" t="str">
        <f t="shared" si="7"/>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6"/>
        <v>GoldSempsa JP (Cookson Sempsa)</v>
      </c>
      <c r="K246" s="231" t="str">
        <f t="shared" si="7"/>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6"/>
        <v>GoldShan Dong Huangjin</v>
      </c>
      <c r="K247" s="231" t="str">
        <f t="shared" si="7"/>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6"/>
        <v>GoldShandong Gold Mine(Laizhou) Smelter Co., Ltd.</v>
      </c>
      <c r="K248" s="231" t="str">
        <f t="shared" si="7"/>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6"/>
        <v>GoldShandong Gold Smelting Co., Ltd.</v>
      </c>
      <c r="K249" s="231" t="str">
        <f t="shared" si="7"/>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6"/>
        <v>GoldShandong Guoda Gold Co., Ltd.</v>
      </c>
      <c r="K250" s="231" t="str">
        <f t="shared" si="7"/>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6"/>
        <v>Goldshandong huangjin</v>
      </c>
      <c r="K251" s="231" t="str">
        <f t="shared" si="7"/>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6"/>
        <v>GoldShandong Humon Smelting Co., Ltd.</v>
      </c>
      <c r="K252" s="231" t="str">
        <f t="shared" si="7"/>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6"/>
        <v>GoldShandong middlings JinYe group Co., LTD</v>
      </c>
      <c r="K253" s="231" t="str">
        <f t="shared" si="7"/>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6"/>
        <v>GoldShandong Tarzan Bio-Gold Industry Co., Ltd.</v>
      </c>
      <c r="K254" s="231" t="str">
        <f t="shared" si="7"/>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6"/>
        <v>GoldShandong Tiancheng Biological Gold Industrial Co., Ltd.</v>
      </c>
      <c r="K255" s="231" t="str">
        <f t="shared" si="7"/>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6"/>
        <v>GoldShandong Zhaojin Gold &amp; Silver Refinery Co., Ltd.</v>
      </c>
      <c r="K256" s="231" t="str">
        <f t="shared" si="7"/>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6"/>
        <v>GoldShangdong Gold (Laizhou)</v>
      </c>
      <c r="K257" s="231" t="str">
        <f t="shared" si="7"/>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6"/>
        <v>GoldShenzhen CuiLu Gold Co., Ltd.</v>
      </c>
      <c r="K258" s="231" t="str">
        <f t="shared" si="7"/>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6"/>
        <v>GoldSHENZHEN JINJUNWEI RESOURCE COMPREHENSIVE DEVELOPMENT CO., LTD.</v>
      </c>
      <c r="K259" s="231" t="str">
        <f t="shared" si="7"/>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6"/>
        <v>GoldShenzhen Zhonghenglong Real Industry Co., Ltd.</v>
      </c>
      <c r="K260" s="231" t="str">
        <f t="shared" si="7"/>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6"/>
        <v>GoldShirpur Gold Refinery Ltd.</v>
      </c>
      <c r="K261" s="231" t="str">
        <f t="shared" si="7"/>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6"/>
        <v>GoldShonan Plant Tanaka Kikinzoku</v>
      </c>
      <c r="K262" s="231" t="str">
        <f t="shared" si="7"/>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8">A263&amp;B263</f>
        <v>GoldShyolkovsky</v>
      </c>
      <c r="K263" s="231" t="str">
        <f t="shared" ref="K263:K325" si="9">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8"/>
        <v>GoldSichuan Tianze Precious Metals Co., Ltd.</v>
      </c>
      <c r="K264" s="231" t="str">
        <f t="shared" si="9"/>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8"/>
        <v>GoldSingapore Tanaka</v>
      </c>
      <c r="K265" s="231" t="str">
        <f t="shared" si="9"/>
        <v>GoldSingapore Tanaka</v>
      </c>
    </row>
    <row r="266" spans="1:11">
      <c r="A266" s="209" t="s">
        <v>1119</v>
      </c>
      <c r="B266" s="209" t="s">
        <v>1381</v>
      </c>
      <c r="C266" s="209" t="s">
        <v>1381</v>
      </c>
      <c r="D266" s="209" t="s">
        <v>2414</v>
      </c>
      <c r="E266" s="209" t="s">
        <v>1382</v>
      </c>
      <c r="F266" s="283" t="s">
        <v>13217</v>
      </c>
      <c r="H266" s="209" t="s">
        <v>1690</v>
      </c>
      <c r="I266" s="209" t="s">
        <v>1691</v>
      </c>
      <c r="J266" s="231" t="str">
        <f t="shared" si="8"/>
        <v>GoldSingway Technology Co., Ltd.</v>
      </c>
      <c r="K266" s="231" t="str">
        <f t="shared" si="9"/>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8"/>
        <v>GoldSMM</v>
      </c>
      <c r="K267" s="231" t="str">
        <f t="shared" si="9"/>
        <v>GoldSMM</v>
      </c>
    </row>
    <row r="268" spans="1:11">
      <c r="A268" s="209" t="s">
        <v>1119</v>
      </c>
      <c r="B268" s="209" t="s">
        <v>904</v>
      </c>
      <c r="C268" s="209" t="s">
        <v>904</v>
      </c>
      <c r="D268" s="209" t="s">
        <v>873</v>
      </c>
      <c r="E268" s="209" t="s">
        <v>723</v>
      </c>
      <c r="F268" s="283" t="s">
        <v>13217</v>
      </c>
      <c r="H268" s="209" t="s">
        <v>1652</v>
      </c>
      <c r="I268" s="209" t="s">
        <v>9937</v>
      </c>
      <c r="J268" s="231" t="str">
        <f t="shared" si="8"/>
        <v>GoldSOE Shyolkovsky Factory of Secondary Precious Metals</v>
      </c>
      <c r="K268" s="231" t="str">
        <f t="shared" si="9"/>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8"/>
        <v>GoldSolar Applied Materials Technology Corp.</v>
      </c>
      <c r="K269" s="231" t="str">
        <f t="shared" si="9"/>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8"/>
        <v>GoldSOLAR CHEMICALAPPLIED MATERIALS TECHNOLOGY (KUN SHAN)</v>
      </c>
      <c r="K270" s="231" t="str">
        <f t="shared" si="9"/>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8"/>
        <v>GoldSolartech</v>
      </c>
      <c r="K271" s="231" t="str">
        <f t="shared" si="9"/>
        <v>GoldSolartech</v>
      </c>
    </row>
    <row r="272" spans="1:11">
      <c r="A272" s="209" t="s">
        <v>1119</v>
      </c>
      <c r="B272" s="209" t="s">
        <v>13772</v>
      </c>
      <c r="C272" s="209" t="s">
        <v>13772</v>
      </c>
      <c r="D272" s="209" t="s">
        <v>1096</v>
      </c>
      <c r="E272" s="209" t="s">
        <v>13773</v>
      </c>
      <c r="F272" s="283" t="s">
        <v>13217</v>
      </c>
      <c r="H272" s="209" t="s">
        <v>15105</v>
      </c>
      <c r="I272" s="209" t="s">
        <v>15543</v>
      </c>
      <c r="J272" s="231" t="str">
        <f t="shared" si="8"/>
        <v>GoldSovereign Metals</v>
      </c>
      <c r="K272" s="231" t="str">
        <f t="shared" si="9"/>
        <v>GoldSovereign Metals</v>
      </c>
    </row>
    <row r="273" spans="1:11">
      <c r="A273" s="209" t="s">
        <v>1119</v>
      </c>
      <c r="B273" s="209" t="s">
        <v>2502</v>
      </c>
      <c r="C273" s="209" t="s">
        <v>2502</v>
      </c>
      <c r="D273" s="209" t="s">
        <v>1102</v>
      </c>
      <c r="E273" s="209" t="s">
        <v>2503</v>
      </c>
      <c r="F273" s="283" t="s">
        <v>13217</v>
      </c>
      <c r="H273" s="209" t="s">
        <v>2504</v>
      </c>
      <c r="I273" s="209" t="s">
        <v>2504</v>
      </c>
      <c r="J273" s="231" t="str">
        <f t="shared" si="8"/>
        <v>GoldState Research Institute Center for Physical Sciences and Technology</v>
      </c>
      <c r="K273" s="231" t="str">
        <f t="shared" si="9"/>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8"/>
        <v>GoldSudan Gold Refinery</v>
      </c>
      <c r="K274" s="231" t="str">
        <f t="shared" si="9"/>
        <v>GoldSudan Gold Refinery</v>
      </c>
    </row>
    <row r="275" spans="1:11">
      <c r="A275" s="209" t="s">
        <v>1119</v>
      </c>
      <c r="B275" s="209" t="s">
        <v>2207</v>
      </c>
      <c r="C275" s="209" t="s">
        <v>55</v>
      </c>
      <c r="D275" s="209" t="s">
        <v>1098</v>
      </c>
      <c r="E275" s="209" t="s">
        <v>725</v>
      </c>
      <c r="F275" s="283" t="s">
        <v>13217</v>
      </c>
      <c r="H275" s="209" t="s">
        <v>1654</v>
      </c>
      <c r="I275" s="209" t="s">
        <v>2196</v>
      </c>
      <c r="J275" s="231" t="str">
        <f t="shared" si="8"/>
        <v>GoldSumitomo Kinzoku Kozan K.K.</v>
      </c>
      <c r="K275" s="231" t="str">
        <f t="shared" si="9"/>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8"/>
        <v>GoldSumitomo Metal Mining Co., Ltd.</v>
      </c>
      <c r="K276" s="231" t="str">
        <f t="shared" si="9"/>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8"/>
        <v>GoldSungEel HiMetal Co., Ltd.</v>
      </c>
      <c r="K277" s="231" t="str">
        <f t="shared" si="9"/>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8"/>
        <v>GoldSungEel HiTech</v>
      </c>
      <c r="K278" s="231" t="str">
        <f t="shared" si="9"/>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8"/>
        <v>GoldSuper Dragon Technology Co., Ltd.</v>
      </c>
      <c r="K279" s="231" t="str">
        <f t="shared" si="9"/>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8"/>
        <v>GoldT.C.A S.p.A</v>
      </c>
      <c r="K280" s="231" t="str">
        <f t="shared" si="9"/>
        <v>GoldT.C.A S.p.A</v>
      </c>
    </row>
    <row r="281" spans="1:11">
      <c r="A281" s="209" t="s">
        <v>1119</v>
      </c>
      <c r="B281" s="209" t="s">
        <v>2292</v>
      </c>
      <c r="C281" s="209" t="s">
        <v>1218</v>
      </c>
      <c r="D281" s="209" t="s">
        <v>1098</v>
      </c>
      <c r="E281" s="209" t="s">
        <v>705</v>
      </c>
      <c r="F281" s="283" t="s">
        <v>13217</v>
      </c>
      <c r="H281" s="209" t="s">
        <v>1620</v>
      </c>
      <c r="I281" s="209" t="s">
        <v>1619</v>
      </c>
      <c r="J281" s="231" t="str">
        <f t="shared" si="8"/>
        <v>GoldTakehara Refinery</v>
      </c>
      <c r="K281" s="231" t="str">
        <f t="shared" si="9"/>
        <v>GoldTakehara Refinery</v>
      </c>
    </row>
    <row r="282" spans="1:11">
      <c r="A282" s="209" t="s">
        <v>1119</v>
      </c>
      <c r="B282" s="209" t="s">
        <v>2284</v>
      </c>
      <c r="C282" s="209" t="s">
        <v>53</v>
      </c>
      <c r="D282" s="209" t="s">
        <v>1098</v>
      </c>
      <c r="E282" s="209" t="s">
        <v>686</v>
      </c>
      <c r="F282" s="283" t="s">
        <v>13217</v>
      </c>
      <c r="H282" s="209" t="s">
        <v>2345</v>
      </c>
      <c r="I282" s="209" t="s">
        <v>6642</v>
      </c>
      <c r="J282" s="231" t="str">
        <f t="shared" si="8"/>
        <v>GoldTamano Smelter</v>
      </c>
      <c r="K282" s="231" t="str">
        <f t="shared" si="9"/>
        <v>GoldTamano Smelter</v>
      </c>
    </row>
    <row r="283" spans="1:11">
      <c r="A283" s="209" t="s">
        <v>1119</v>
      </c>
      <c r="B283" s="209" t="s">
        <v>2208</v>
      </c>
      <c r="C283" s="209" t="s">
        <v>1221</v>
      </c>
      <c r="D283" s="209" t="s">
        <v>1098</v>
      </c>
      <c r="E283" s="209" t="s">
        <v>726</v>
      </c>
      <c r="F283" s="283" t="s">
        <v>13217</v>
      </c>
      <c r="H283" s="209" t="s">
        <v>1655</v>
      </c>
      <c r="I283" s="209" t="s">
        <v>1656</v>
      </c>
      <c r="J283" s="231" t="str">
        <f t="shared" si="8"/>
        <v>GoldTanaka Denshi Kogyo K.K</v>
      </c>
      <c r="K283" s="231" t="str">
        <f t="shared" si="9"/>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8"/>
        <v>GoldTanaka Electronics (Hong Kong) Pte. Ltd.</v>
      </c>
      <c r="K284" s="231" t="str">
        <f t="shared" si="9"/>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8"/>
        <v>GoldTANAKA Electronics (Malaysia) SDN. BHD.</v>
      </c>
      <c r="K285" s="231" t="str">
        <f t="shared" si="9"/>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8"/>
        <v>GoldTanaka Electronics (Singapore) Pte. Ltd.</v>
      </c>
      <c r="K286" s="231" t="str">
        <f t="shared" si="9"/>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8"/>
        <v>GoldTanaka Kikinzoku International</v>
      </c>
      <c r="K287" s="231" t="str">
        <f t="shared" si="9"/>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8"/>
        <v>GoldTanaka Kikinzoku Kogyo K.K</v>
      </c>
      <c r="K288" s="231" t="str">
        <f t="shared" si="9"/>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8"/>
        <v>GoldTanaka Kikinzoku Kogyo K.K.</v>
      </c>
      <c r="K289" s="231" t="str">
        <f t="shared" si="9"/>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8"/>
        <v>GoldTanaka Precious Metals</v>
      </c>
      <c r="K290" s="231" t="str">
        <f t="shared" si="9"/>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8"/>
        <v>GoldThe Great Wall Gold and Silver Refinery of China</v>
      </c>
      <c r="K291" s="231" t="str">
        <f t="shared" si="9"/>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8"/>
        <v>GoldThe Perth Mint</v>
      </c>
      <c r="K292" s="231" t="str">
        <f t="shared" si="9"/>
        <v>GoldThe Perth Mint</v>
      </c>
    </row>
    <row r="293" spans="1:11">
      <c r="A293" s="209" t="s">
        <v>1119</v>
      </c>
      <c r="B293" s="209" t="s">
        <v>2146</v>
      </c>
      <c r="C293" s="209" t="s">
        <v>15020</v>
      </c>
      <c r="D293" s="209" t="s">
        <v>1090</v>
      </c>
      <c r="E293" s="209" t="s">
        <v>728</v>
      </c>
      <c r="F293" s="283" t="s">
        <v>13217</v>
      </c>
      <c r="H293" s="209" t="s">
        <v>1647</v>
      </c>
      <c r="I293" s="209" t="s">
        <v>13597</v>
      </c>
      <c r="J293" s="231" t="str">
        <f t="shared" si="8"/>
        <v>GoldThe Refinery of Shandong Gold Mining Co., Ltd.</v>
      </c>
      <c r="K293" s="231" t="str">
        <f t="shared" si="9"/>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8"/>
        <v>GoldTokuriki Honten Co., Ltd.</v>
      </c>
      <c r="K294" s="231" t="str">
        <f t="shared" si="9"/>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8"/>
        <v>GoldTongling Nonferrous Metals Group Co., Ltd.</v>
      </c>
      <c r="K295" s="231" t="str">
        <f t="shared" si="9"/>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8"/>
        <v>GoldTongLing Nonferrous Metals Group Holdings Co., Ltd.</v>
      </c>
      <c r="K296" s="231" t="str">
        <f t="shared" si="9"/>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8"/>
        <v>GoldTony Goetz NV</v>
      </c>
      <c r="K297" s="231" t="str">
        <f t="shared" si="9"/>
        <v>GoldTony Goetz NV</v>
      </c>
    </row>
    <row r="298" spans="1:11">
      <c r="A298" s="209" t="s">
        <v>1119</v>
      </c>
      <c r="B298" s="209" t="s">
        <v>2310</v>
      </c>
      <c r="C298" s="209" t="s">
        <v>2310</v>
      </c>
      <c r="D298" s="209" t="s">
        <v>1099</v>
      </c>
      <c r="E298" s="209" t="s">
        <v>2311</v>
      </c>
      <c r="F298" s="283" t="s">
        <v>13217</v>
      </c>
      <c r="H298" s="209" t="s">
        <v>2312</v>
      </c>
      <c r="I298" s="209" t="s">
        <v>2313</v>
      </c>
      <c r="J298" s="231" t="str">
        <f t="shared" si="8"/>
        <v>GoldTOO Tau-Ken-Altyn</v>
      </c>
      <c r="K298" s="231" t="str">
        <f t="shared" si="9"/>
        <v>GoldTOO Tau-Ken-Altyn</v>
      </c>
    </row>
    <row r="299" spans="1:11">
      <c r="A299" s="209" t="s">
        <v>1119</v>
      </c>
      <c r="B299" s="209" t="s">
        <v>606</v>
      </c>
      <c r="C299" s="209" t="s">
        <v>606</v>
      </c>
      <c r="D299" s="209" t="s">
        <v>1101</v>
      </c>
      <c r="E299" s="209" t="s">
        <v>731</v>
      </c>
      <c r="F299" s="283" t="s">
        <v>13217</v>
      </c>
      <c r="H299" s="209" t="s">
        <v>1665</v>
      </c>
      <c r="I299" s="209" t="s">
        <v>12847</v>
      </c>
      <c r="J299" s="231" t="str">
        <f t="shared" si="8"/>
        <v>GoldTorecom</v>
      </c>
      <c r="K299" s="231" t="str">
        <f t="shared" si="9"/>
        <v>GoldTorecom</v>
      </c>
    </row>
    <row r="300" spans="1:11">
      <c r="A300" s="209" t="s">
        <v>1119</v>
      </c>
      <c r="B300" s="209" t="s">
        <v>15425</v>
      </c>
      <c r="C300" s="209" t="s">
        <v>2491</v>
      </c>
      <c r="D300" s="209" t="s">
        <v>1086</v>
      </c>
      <c r="E300" s="209" t="s">
        <v>2492</v>
      </c>
      <c r="F300" s="283" t="s">
        <v>13217</v>
      </c>
      <c r="H300" s="209" t="s">
        <v>2493</v>
      </c>
      <c r="I300" s="209" t="s">
        <v>1666</v>
      </c>
      <c r="J300" s="231" t="str">
        <f t="shared" si="8"/>
        <v>GoldUbro-Union of Brazilian Refiners</v>
      </c>
      <c r="K300" s="231" t="str">
        <f t="shared" si="9"/>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8"/>
        <v>GoldUmicore Precious Metals Refining Hoboken</v>
      </c>
      <c r="K301" s="231" t="str">
        <f t="shared" si="9"/>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8"/>
        <v>GoldUmicore Precious Metals Thailand</v>
      </c>
      <c r="K302" s="231" t="str">
        <f t="shared" si="9"/>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8"/>
        <v>GoldUmicore S.A. Business Unit Precious Metals Refining</v>
      </c>
      <c r="K303" s="231" t="str">
        <f t="shared" si="9"/>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8"/>
        <v>GoldUnited Precious Metal Refining, Inc.</v>
      </c>
      <c r="K304" s="231" t="str">
        <f t="shared" si="9"/>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8"/>
        <v>GoldValcambi S.A.</v>
      </c>
      <c r="K305" s="231" t="str">
        <f t="shared" si="9"/>
        <v>GoldValcambi S.A.</v>
      </c>
    </row>
    <row r="306" spans="1:11">
      <c r="A306" s="209" t="s">
        <v>1119</v>
      </c>
      <c r="B306" s="209" t="s">
        <v>15045</v>
      </c>
      <c r="C306" s="209" t="s">
        <v>15045</v>
      </c>
      <c r="D306" s="209" t="s">
        <v>1094</v>
      </c>
      <c r="E306" s="209" t="s">
        <v>15046</v>
      </c>
      <c r="F306" s="283" t="s">
        <v>13217</v>
      </c>
      <c r="H306" s="209" t="s">
        <v>15426</v>
      </c>
      <c r="I306" s="209" t="s">
        <v>12816</v>
      </c>
      <c r="J306" s="231" t="str">
        <f t="shared" si="8"/>
        <v>GoldWEEEREFINING</v>
      </c>
      <c r="K306" s="231" t="str">
        <f t="shared" si="9"/>
        <v>GoldWEEEREFINING</v>
      </c>
    </row>
    <row r="307" spans="1:11">
      <c r="A307" s="209" t="s">
        <v>1119</v>
      </c>
      <c r="B307" s="209" t="s">
        <v>2471</v>
      </c>
      <c r="C307" s="209" t="s">
        <v>2471</v>
      </c>
      <c r="D307" s="209" t="s">
        <v>1083</v>
      </c>
      <c r="E307" s="209" t="s">
        <v>735</v>
      </c>
      <c r="F307" s="283" t="s">
        <v>13217</v>
      </c>
      <c r="H307" s="209" t="s">
        <v>1671</v>
      </c>
      <c r="I307" s="209" t="s">
        <v>1672</v>
      </c>
      <c r="J307" s="231" t="str">
        <f t="shared" si="8"/>
        <v>GoldWestern Australian Mint (T/a The Perth Mint)</v>
      </c>
      <c r="K307" s="231" t="str">
        <f t="shared" si="9"/>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8"/>
        <v>GoldWIELAND Edelmetalle GmbH</v>
      </c>
      <c r="K308" s="231" t="str">
        <f t="shared" si="9"/>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8"/>
        <v>GoldWilliams Advanced Materials</v>
      </c>
      <c r="K309" s="231" t="str">
        <f t="shared" si="9"/>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8"/>
        <v>GoldXstrata</v>
      </c>
      <c r="K310" s="231" t="str">
        <f t="shared" si="9"/>
        <v>GoldXstrata</v>
      </c>
    </row>
    <row r="311" spans="1:11">
      <c r="A311" s="209" t="s">
        <v>1119</v>
      </c>
      <c r="B311" s="209" t="s">
        <v>12904</v>
      </c>
      <c r="C311" s="209" t="s">
        <v>12904</v>
      </c>
      <c r="D311" s="209" t="s">
        <v>1098</v>
      </c>
      <c r="E311" s="209" t="s">
        <v>736</v>
      </c>
      <c r="F311" s="283" t="s">
        <v>13217</v>
      </c>
      <c r="H311" s="209" t="s">
        <v>12918</v>
      </c>
      <c r="I311" s="209" t="s">
        <v>6605</v>
      </c>
      <c r="J311" s="231" t="str">
        <f t="shared" si="8"/>
        <v>GoldYamakin Co., Ltd.</v>
      </c>
      <c r="K311" s="231" t="str">
        <f t="shared" si="9"/>
        <v>GoldYamakin Co., Ltd.</v>
      </c>
    </row>
    <row r="312" spans="1:11">
      <c r="A312" s="209" t="s">
        <v>1119</v>
      </c>
      <c r="B312" s="209" t="s">
        <v>12905</v>
      </c>
      <c r="C312" s="209" t="s">
        <v>12904</v>
      </c>
      <c r="D312" s="209" t="s">
        <v>1098</v>
      </c>
      <c r="E312" s="209" t="s">
        <v>736</v>
      </c>
      <c r="F312" s="283" t="s">
        <v>13217</v>
      </c>
      <c r="H312" s="209" t="s">
        <v>12918</v>
      </c>
      <c r="I312" s="209" t="s">
        <v>6605</v>
      </c>
      <c r="J312" s="231" t="str">
        <f t="shared" si="8"/>
        <v>GoldYamamoto Precious Co., Ltd.</v>
      </c>
      <c r="K312" s="231" t="str">
        <f t="shared" si="9"/>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8"/>
        <v>GoldYamamoto Precious Metal Co., Ltd.</v>
      </c>
      <c r="K313" s="231" t="str">
        <f t="shared" si="9"/>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8"/>
        <v>GoldYamamoto Precision Metals</v>
      </c>
      <c r="K314" s="231" t="str">
        <f t="shared" si="9"/>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8"/>
        <v>GoldYantai NUS Safina tech environmental Refinery Co. Ltd.</v>
      </c>
      <c r="K315" s="231" t="str">
        <f t="shared" si="9"/>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8"/>
        <v>GoldYilida Resources Technology Co., Ltd.</v>
      </c>
      <c r="K316" s="231" t="str">
        <f t="shared" si="9"/>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8"/>
        <v>GoldYokohama Metal Co., Ltd.</v>
      </c>
      <c r="K317" s="231" t="str">
        <f t="shared" si="9"/>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8"/>
        <v>GoldYunnan Copper Industry Co., Ltd.</v>
      </c>
      <c r="K318" s="231" t="str">
        <f t="shared" si="9"/>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8"/>
        <v>GoldZhao Jin Mining Industry Co Ltd</v>
      </c>
      <c r="K319" s="231" t="str">
        <f t="shared" si="9"/>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8"/>
        <v>GoldZhao Yuan Gold Mine</v>
      </c>
      <c r="K320" s="231" t="str">
        <f t="shared" si="9"/>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8"/>
        <v>GoldZhao Yuan Gold Smelter of ZhongJin</v>
      </c>
      <c r="K321" s="231" t="str">
        <f t="shared" si="9"/>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8"/>
        <v>GoldZhao Yuan Jin Kuang</v>
      </c>
      <c r="K322" s="231" t="str">
        <f t="shared" si="9"/>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8"/>
        <v>GoldZhaojin Mining Industry Co., Ltd.</v>
      </c>
      <c r="K323" s="231" t="str">
        <f t="shared" si="9"/>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8"/>
        <v>Goldzhaojinjinyinyelian</v>
      </c>
      <c r="K324" s="231" t="str">
        <f t="shared" si="9"/>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8"/>
        <v>GoldZhaoyuan Gold Group</v>
      </c>
      <c r="K325" s="231" t="str">
        <f t="shared" si="9"/>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0">A326&amp;B326</f>
        <v>GoldZhongjin Gold Corporation Limited</v>
      </c>
      <c r="K326" s="231" t="str">
        <f t="shared" ref="K326:K391" si="11">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0"/>
        <v>GoldZhongyuan Gold Smelter of Zhongjin Gold Corporation</v>
      </c>
      <c r="K327" s="231" t="str">
        <f t="shared" si="11"/>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0"/>
        <v>GoldZijin Kuang Ye Refinery</v>
      </c>
      <c r="K328" s="231" t="str">
        <f t="shared" si="11"/>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0"/>
        <v>GoldZijin Mining Industry Corporation</v>
      </c>
      <c r="K329" s="231" t="str">
        <f t="shared" si="11"/>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0"/>
        <v>Tantalum5D Production OU</v>
      </c>
      <c r="K332" s="231" t="str">
        <f t="shared" si="11"/>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0"/>
        <v>Tantalum5D Production OÜ</v>
      </c>
      <c r="K333" s="231" t="str">
        <f t="shared" si="11"/>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0"/>
        <v>TantalumAMG Brasil</v>
      </c>
      <c r="K334" s="231" t="str">
        <f t="shared" si="11"/>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0"/>
        <v>TantalumConghua Tantalum and Niobium Smeltry</v>
      </c>
      <c r="K335" s="231" t="str">
        <f t="shared" si="11"/>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0"/>
        <v>TantalumD Block Metals, LLC</v>
      </c>
      <c r="K336" s="231" t="str">
        <f t="shared" si="11"/>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0"/>
        <v>TantalumF &amp; X</v>
      </c>
      <c r="K337" s="231" t="str">
        <f t="shared" si="11"/>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0"/>
        <v>TantalumF&amp;X Electro-Materials Ltd.</v>
      </c>
      <c r="K338" s="231" t="str">
        <f t="shared" si="11"/>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0"/>
        <v>TantalumFIR Metals &amp; Resource Ltd.</v>
      </c>
      <c r="K339" s="231" t="str">
        <f t="shared" si="11"/>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0"/>
        <v>TantalumGlobal Advanced Metals Aizu</v>
      </c>
      <c r="K340" s="231" t="str">
        <f t="shared" si="11"/>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0"/>
        <v>TantalumGlobal Advanced Metals Boyertown</v>
      </c>
      <c r="K341" s="231" t="str">
        <f t="shared" si="11"/>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0"/>
        <v>TantalumGuangdong Rising Rare Metals-EO Materials Ltd.</v>
      </c>
      <c r="K342" s="231" t="str">
        <f t="shared" si="11"/>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0"/>
        <v>TantalumGuangdong Zhiyuan New Material Co., Ltd.</v>
      </c>
      <c r="K343" s="231" t="str">
        <f t="shared" si="11"/>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0"/>
        <v>TantalumH.C. Starck Co., Ltd.</v>
      </c>
      <c r="K344" s="231" t="str">
        <f t="shared" si="11"/>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0"/>
        <v>TantalumH.C. Starck Inc.</v>
      </c>
      <c r="K345" s="231" t="str">
        <f t="shared" si="11"/>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0"/>
        <v>TantalumH.C. Starck Ltd.</v>
      </c>
      <c r="K346" s="231" t="str">
        <f t="shared" si="11"/>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0"/>
        <v>TantalumH.C. Starck Smelting GmbH &amp; Co. KG</v>
      </c>
      <c r="K347" s="231" t="str">
        <f t="shared" si="11"/>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0"/>
        <v>TantalumH.C. Starck Tantalum and Niobium GmbH</v>
      </c>
      <c r="K348" s="231" t="str">
        <f t="shared" si="11"/>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0"/>
        <v>TantalumHengyang King Xing Lifeng New Materials Co., Ltd.</v>
      </c>
      <c r="K349" s="231" t="str">
        <f t="shared" si="11"/>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0"/>
        <v>TantalumJiangxi Dinghai Tantalum &amp; Niobium Co., Ltd.</v>
      </c>
      <c r="K350" s="231" t="str">
        <f t="shared" si="11"/>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0"/>
        <v>TantalumJiangxi Tuohong New Raw Material</v>
      </c>
      <c r="K351" s="231" t="str">
        <f t="shared" si="11"/>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0"/>
        <v>TantalumJiuJiang JinXin Nonferrous Metals Co., Ltd.</v>
      </c>
      <c r="K352" s="231" t="str">
        <f t="shared" si="11"/>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0"/>
        <v>TantalumJiujiang Nonferrous Metals Smelting Company Limited</v>
      </c>
      <c r="K353" s="231" t="str">
        <f t="shared" si="11"/>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0"/>
        <v>TantalumJiujiang Tanbre Co., Ltd.</v>
      </c>
      <c r="K354" s="231" t="str">
        <f t="shared" si="11"/>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0"/>
        <v>TantalumJiujiang Zhongao Tantalum &amp; Niobium Co., Ltd.</v>
      </c>
      <c r="K355" s="231" t="str">
        <f t="shared" si="11"/>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0"/>
        <v>TantalumKEMET Blue Metals</v>
      </c>
      <c r="K356" s="231" t="str">
        <f t="shared" si="11"/>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0"/>
        <v>TantalumKEMET de Mexico</v>
      </c>
      <c r="K357" s="231" t="str">
        <f t="shared" si="11"/>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0"/>
        <v>TantalumLSM Brasil S.A.</v>
      </c>
      <c r="K358" s="231" t="str">
        <f t="shared" si="11"/>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0"/>
        <v>TantalumMaterion Newton Inc.</v>
      </c>
      <c r="K359" s="231" t="str">
        <f t="shared" si="11"/>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0"/>
        <v>TantalumMetallurgical Products India Pvt. Ltd. (MPIL)</v>
      </c>
      <c r="K360" s="231" t="str">
        <f t="shared" si="11"/>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0"/>
        <v>TantalumMetallurgical Products India Pvt., Ltd.</v>
      </c>
      <c r="K361" s="231" t="str">
        <f t="shared" si="11"/>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0"/>
        <v>TantalumMineracao Taboca S.A.</v>
      </c>
      <c r="K362" s="231" t="str">
        <f t="shared" si="11"/>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0"/>
        <v>TantalumMineração Taboca S.A.</v>
      </c>
      <c r="K363" s="231" t="str">
        <f t="shared" si="11"/>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0"/>
        <v>TantalumMineracao Taboca SA</v>
      </c>
      <c r="K364" s="231" t="str">
        <f t="shared" si="11"/>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0"/>
        <v>TantalumMitsui Mining &amp; Smelting</v>
      </c>
      <c r="K365" s="231" t="str">
        <f t="shared" si="11"/>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0"/>
        <v>TantalumMitsui Mining and Smelting Co., Ltd.</v>
      </c>
      <c r="K366" s="231" t="str">
        <f t="shared" si="11"/>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0"/>
        <v>TantalumMolycorp Silmet A.S.</v>
      </c>
      <c r="K367" s="231" t="str">
        <f t="shared" si="11"/>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0"/>
        <v>TantalumNingxia Non-Ferrous Metal Smeltery</v>
      </c>
      <c r="K368" s="231" t="str">
        <f t="shared" si="11"/>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0"/>
        <v>TantalumNingxia Orient Tantalum Industry Co., Ltd.</v>
      </c>
      <c r="K369" s="231" t="str">
        <f t="shared" si="11"/>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0"/>
        <v>TantalumNPM Silmet AS</v>
      </c>
      <c r="K370" s="231" t="str">
        <f t="shared" si="11"/>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0"/>
        <v>TantalumPowerX Ltd.</v>
      </c>
      <c r="K371" s="231" t="str">
        <f t="shared" si="11"/>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0"/>
        <v>TantalumQuantumClean</v>
      </c>
      <c r="K372" s="231" t="str">
        <f t="shared" si="11"/>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0"/>
        <v>TantalumResind Ind e Com Ltda.</v>
      </c>
      <c r="K373" s="231" t="str">
        <f t="shared" si="11"/>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0"/>
        <v>TantalumResind Industria e Comercio Ltda.</v>
      </c>
      <c r="K374" s="231" t="str">
        <f t="shared" si="11"/>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0"/>
        <v>TantalumResind Indústria e Comércio Ltda.</v>
      </c>
      <c r="K375" s="231" t="str">
        <f t="shared" si="11"/>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0"/>
        <v>TantalumRFH</v>
      </c>
      <c r="K376" s="231" t="str">
        <f t="shared" si="11"/>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0"/>
        <v>TantalumRFH Tantalum Smeltry Co., Ltd.</v>
      </c>
      <c r="K377" s="231" t="str">
        <f t="shared" si="11"/>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0"/>
        <v>TantalumRFH Yancheng Jinye New Material Technology Co., Ltd.</v>
      </c>
      <c r="K378" s="231" t="str">
        <f t="shared" si="11"/>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0"/>
        <v>TantalumSolikamsk</v>
      </c>
      <c r="K379" s="231" t="str">
        <f t="shared" si="11"/>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0"/>
        <v>TantalumSolikamsk Magnesium Works OAO</v>
      </c>
      <c r="K380" s="231" t="str">
        <f t="shared" si="11"/>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0"/>
        <v>TantalumSolikamsk Metal Works</v>
      </c>
      <c r="K381" s="231" t="str">
        <f t="shared" si="11"/>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0"/>
        <v>TantalumTaki Chemical Co., Ltd.</v>
      </c>
      <c r="K382" s="231" t="str">
        <f t="shared" si="11"/>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0"/>
        <v>TantalumTaki Chemicals</v>
      </c>
      <c r="K383" s="231" t="str">
        <f t="shared" si="11"/>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0"/>
        <v>TantalumTANIOBIS Co., Ltd.</v>
      </c>
      <c r="K384" s="231" t="str">
        <f t="shared" si="11"/>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0"/>
        <v>TantalumTANIOBIS GmbH</v>
      </c>
      <c r="K385" s="231" t="str">
        <f t="shared" si="11"/>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0"/>
        <v>TantalumTANIOBIS Japan Co., Ltd.</v>
      </c>
      <c r="K386" s="231" t="str">
        <f t="shared" si="11"/>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0"/>
        <v>TantalumTANIOBIS Smelting GmbH &amp; Co. KG</v>
      </c>
      <c r="K387" s="231" t="str">
        <f t="shared" si="11"/>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0"/>
        <v>TantalumTelex Metals</v>
      </c>
      <c r="K388" s="231" t="str">
        <f t="shared" si="11"/>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0"/>
        <v>TantalumULBA</v>
      </c>
      <c r="K389" s="231" t="str">
        <f t="shared" si="11"/>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0"/>
        <v>TantalumUlba Metallurgical Plant JSC</v>
      </c>
      <c r="K390" s="231" t="str">
        <f t="shared" si="11"/>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0"/>
        <v>TantalumXIMEI RESOURCES (GUANGDONG) LIMITED</v>
      </c>
      <c r="K391" s="231" t="str">
        <f t="shared" si="11"/>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2">A392&amp;B392</f>
        <v>TantalumXinXing HaoRong Electronic Material Co., Ltd.</v>
      </c>
      <c r="K392" s="231" t="str">
        <f t="shared" ref="K392:K457" si="13">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2"/>
        <v>TantalumYancheng Jinye New Material Technology Co., Ltd.</v>
      </c>
      <c r="K393" s="231" t="str">
        <f t="shared" si="13"/>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2"/>
        <v>TantalumYanling Jincheng Tantalum &amp; Niobium Co., Ltd.</v>
      </c>
      <c r="K394" s="231" t="str">
        <f t="shared" si="13"/>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2"/>
        <v>TantalumYanling Jincheng Tantalum Co., Ltd.</v>
      </c>
      <c r="K395" s="231" t="str">
        <f t="shared" si="13"/>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2"/>
        <v>Tantalumタニオビス・ジャパン株式会社</v>
      </c>
      <c r="K396" s="231" t="str">
        <f t="shared" si="13"/>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2"/>
        <v>TinAlent plc</v>
      </c>
      <c r="K399" s="231" t="str">
        <f t="shared" si="13"/>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2"/>
        <v>TinAlpha</v>
      </c>
      <c r="K400" s="231" t="str">
        <f t="shared" si="13"/>
        <v>TinAlpha</v>
      </c>
    </row>
    <row r="401" spans="1:11">
      <c r="A401" s="209" t="s">
        <v>1120</v>
      </c>
      <c r="B401" s="209" t="s">
        <v>1749</v>
      </c>
      <c r="C401" s="209" t="s">
        <v>47</v>
      </c>
      <c r="D401" s="209" t="s">
        <v>2415</v>
      </c>
      <c r="E401" s="209" t="s">
        <v>758</v>
      </c>
      <c r="F401" s="209" t="s">
        <v>13217</v>
      </c>
      <c r="G401" s="209"/>
      <c r="H401" s="209" t="s">
        <v>1746</v>
      </c>
      <c r="I401" s="209" t="s">
        <v>1725</v>
      </c>
      <c r="J401" s="231" t="str">
        <f t="shared" si="12"/>
        <v>TinAlpha Metals</v>
      </c>
      <c r="K401" s="231" t="str">
        <f t="shared" si="13"/>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2"/>
        <v>TinAlpha Metals Korea Ltd.</v>
      </c>
      <c r="K402" s="231" t="str">
        <f t="shared" si="13"/>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2"/>
        <v>TinAlpha Metals Taiwan</v>
      </c>
      <c r="K403" s="231" t="str">
        <f t="shared" si="13"/>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2"/>
        <v>TinAn Vinh Joint Stock Mineral Processing Company</v>
      </c>
      <c r="K404" s="231" t="str">
        <f t="shared" si="13"/>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2"/>
        <v>TinAurubis Beerse</v>
      </c>
      <c r="K405" s="231" t="str">
        <f t="shared" si="13"/>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2"/>
        <v>TinAurubis Berango</v>
      </c>
      <c r="K406" s="231" t="str">
        <f t="shared" si="13"/>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2"/>
        <v>TinBrand IMLI</v>
      </c>
      <c r="K407" s="231" t="str">
        <f t="shared" si="13"/>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2"/>
        <v>TinBrand RBT</v>
      </c>
      <c r="K408" s="231" t="str">
        <f t="shared" si="13"/>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2"/>
        <v>TinChengfeng Metals Co Pte Ltd</v>
      </c>
      <c r="K409" s="231" t="str">
        <f t="shared" si="13"/>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2"/>
        <v>TinChenzhou Yun Xiang mining limited liability company</v>
      </c>
      <c r="K410" s="231" t="str">
        <f t="shared" si="13"/>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2"/>
        <v>TinChenzhou Yunxiang Mining and Metallurgy Co., Ltd.</v>
      </c>
      <c r="K411" s="231" t="str">
        <f t="shared" si="13"/>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2"/>
        <v>TinChifeng Dajingzi Tin Industry Co., Ltd.</v>
      </c>
      <c r="K412" s="231" t="str">
        <f t="shared" si="13"/>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2"/>
        <v>TinChina Tin (Hechi)</v>
      </c>
      <c r="K413" s="231" t="str">
        <f t="shared" si="13"/>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2"/>
        <v>TinChina Tin Group Co., Ltd.</v>
      </c>
      <c r="K414" s="231" t="str">
        <f t="shared" si="13"/>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2"/>
        <v>TinChina Tin Lai Ben Smelter Co., Ltd.</v>
      </c>
      <c r="K415" s="231" t="str">
        <f t="shared" si="13"/>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2"/>
        <v>TinChina Yunnan Tin Co Ltd.</v>
      </c>
      <c r="K416" s="231" t="str">
        <f t="shared" si="13"/>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2"/>
        <v>TinCookson</v>
      </c>
      <c r="K417" s="231" t="str">
        <f t="shared" si="13"/>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2"/>
        <v>TinCookson (Alpha Metals Taiwan)</v>
      </c>
      <c r="K418" s="231" t="str">
        <f t="shared" si="13"/>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2"/>
        <v>TinCookson Alpha Metals (Shenzhen) Co., Ltd.</v>
      </c>
      <c r="K419" s="231" t="str">
        <f t="shared" si="13"/>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2"/>
        <v>TinCRM Fundicao De Metais E Comercio De Equipamentos Eletronicos Do Brasil Ltda</v>
      </c>
      <c r="K420" s="231" t="str">
        <f t="shared" si="13"/>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2"/>
        <v>TinCRM Fundição De Metais E Comércio De Equipamentos Eletrônicos Do Brasil Ltda</v>
      </c>
      <c r="K421" s="231" t="str">
        <f t="shared" si="13"/>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2"/>
        <v>TinCRM Synergies</v>
      </c>
      <c r="K422" s="231" t="str">
        <f t="shared" si="13"/>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2"/>
        <v>TinCV Ayi Jaya</v>
      </c>
      <c r="K423" s="231" t="str">
        <f t="shared" si="13"/>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2"/>
        <v>TinCV Nurjanah</v>
      </c>
      <c r="K424" s="231" t="str">
        <f t="shared" si="13"/>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2"/>
        <v>TinCV Serumpun Sebalai</v>
      </c>
      <c r="K425" s="231" t="str">
        <f t="shared" si="13"/>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2"/>
        <v>TinCV Tiga Sekawan</v>
      </c>
      <c r="K426" s="231" t="str">
        <f t="shared" si="13"/>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2"/>
        <v>TinCV Venus Inti Perkasa</v>
      </c>
      <c r="K427" s="231" t="str">
        <f t="shared" si="13"/>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2"/>
        <v>TinDongguan CiEXPO Environmental Engineering Co., Ltd.</v>
      </c>
      <c r="K428" s="231" t="str">
        <f t="shared" si="13"/>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2"/>
        <v>TinDowa</v>
      </c>
      <c r="K429" s="231" t="str">
        <f t="shared" si="13"/>
        <v>TinDowa</v>
      </c>
    </row>
    <row r="430" spans="1:11">
      <c r="A430" s="209" t="s">
        <v>1120</v>
      </c>
      <c r="B430" s="209" t="s">
        <v>1754</v>
      </c>
      <c r="C430" s="209" t="s">
        <v>896</v>
      </c>
      <c r="D430" s="209" t="s">
        <v>1098</v>
      </c>
      <c r="E430" s="209" t="s">
        <v>1398</v>
      </c>
      <c r="F430" s="209" t="s">
        <v>13217</v>
      </c>
      <c r="G430" s="209"/>
      <c r="H430" s="209" t="s">
        <v>1567</v>
      </c>
      <c r="I430" s="209" t="s">
        <v>1568</v>
      </c>
      <c r="J430" s="231" t="str">
        <f t="shared" si="12"/>
        <v>TinDowa Metaltech Co., Ltd.</v>
      </c>
      <c r="K430" s="231" t="str">
        <f t="shared" si="13"/>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2"/>
        <v>TinDS Myanmar</v>
      </c>
      <c r="K431" s="231" t="str">
        <f t="shared" si="13"/>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2"/>
        <v>TinElectro-Mechanical Facility of the Cao Bang Minerals &amp; Metallurgy Joint Stock Company</v>
      </c>
      <c r="K432" s="231" t="str">
        <f t="shared" si="13"/>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2"/>
        <v>TinEM Vinto</v>
      </c>
      <c r="K433" s="231" t="str">
        <f t="shared" si="13"/>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2"/>
        <v>TinEmpresa Metalúrgica Vinto</v>
      </c>
      <c r="K434" s="231" t="str">
        <f t="shared" si="13"/>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2"/>
        <v>TinEmpressa Nacional de Fundiciones (ENAF)</v>
      </c>
      <c r="K435" s="231" t="str">
        <f t="shared" si="13"/>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2"/>
        <v>TinENAF</v>
      </c>
      <c r="K436" s="231" t="str">
        <f t="shared" si="13"/>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2"/>
        <v>TinEstanho de Rondonia S.A.</v>
      </c>
      <c r="K437" s="231" t="str">
        <f t="shared" si="13"/>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2"/>
        <v>TinEstanho de Rondônia S.A.</v>
      </c>
      <c r="K438" s="231" t="str">
        <f t="shared" si="13"/>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2"/>
        <v>TinFabrica Auricchio</v>
      </c>
      <c r="K439" s="231" t="str">
        <f t="shared" si="13"/>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2"/>
        <v>TinFábrica Auricchio</v>
      </c>
      <c r="K440" s="231" t="str">
        <f t="shared" si="13"/>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2"/>
        <v>TinFabrica Auricchio Industria e Comercio Ltda.</v>
      </c>
      <c r="K441" s="231" t="str">
        <f t="shared" si="13"/>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2"/>
        <v>TinFenix Metals</v>
      </c>
      <c r="K442" s="231" t="str">
        <f t="shared" si="13"/>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2"/>
        <v>TinFunsur Smelter</v>
      </c>
      <c r="K443" s="231" t="str">
        <f t="shared" si="13"/>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2"/>
        <v>TinGejiu City Datun Chengfeng Smelter</v>
      </c>
      <c r="K444" s="231" t="str">
        <f t="shared" si="13"/>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2"/>
        <v>TinGejiu City Fuxiang Industry and Trade Co., Ltd.</v>
      </c>
      <c r="K445" s="231" t="str">
        <f t="shared" si="13"/>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2"/>
        <v>TinGejiu Fuxiang Gongmao Co., Ltd.</v>
      </c>
      <c r="K446" s="231" t="str">
        <f t="shared" si="13"/>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2"/>
        <v>TinGejiu Kai Meng Industry and Trade LLC</v>
      </c>
      <c r="K447" s="231" t="str">
        <f t="shared" si="13"/>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2"/>
        <v>TinGejiu Non-Ferrous Metal Processing Co., Ltd.</v>
      </c>
      <c r="K448" s="231" t="str">
        <f t="shared" si="13"/>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2"/>
        <v>TinGejiu Yunxin Nonferrous Electrolysis Co., Ltd.</v>
      </c>
      <c r="K449" s="231" t="str">
        <f t="shared" si="13"/>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2"/>
        <v>TinGejiu Zi-Li</v>
      </c>
      <c r="K450" s="231" t="str">
        <f t="shared" si="13"/>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2"/>
        <v>TinGejiu Zili Mining And Metallurgy Co., Ltd.</v>
      </c>
      <c r="K451" s="231" t="str">
        <f t="shared" si="13"/>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2"/>
        <v>TinGlobal Advanced Metals Greenbushes Pty Ltd.</v>
      </c>
      <c r="K452" s="231" t="str">
        <f t="shared" si="13"/>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2"/>
        <v>TinGuang Xi Liu Xhou</v>
      </c>
      <c r="K453" s="231" t="str">
        <f t="shared" si="13"/>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2"/>
        <v>TinGuang Xi Liu Zhou</v>
      </c>
      <c r="K454" s="231" t="str">
        <f t="shared" si="13"/>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2"/>
        <v>TinGuangdong Hanhe Non-Ferrous Metal Co., Ltd.</v>
      </c>
      <c r="K455" s="231" t="str">
        <f t="shared" si="13"/>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2"/>
        <v>TinGuangXi China Tin</v>
      </c>
      <c r="K456" s="231" t="str">
        <f t="shared" si="13"/>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2"/>
        <v>TinGuangxi Hua Shu Dan CO., LTD.</v>
      </c>
      <c r="K457" s="231" t="str">
        <f t="shared" si="13"/>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4">A458&amp;B458</f>
        <v>TinHuiChang Hill Tin Industry Co., Ltd.</v>
      </c>
      <c r="K458" s="231" t="str">
        <f t="shared" ref="K458:K521" si="15">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4"/>
        <v>TinHulterworth Smelter</v>
      </c>
      <c r="K459" s="231" t="str">
        <f t="shared" si="15"/>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4"/>
        <v>TinIkuno Tin Smelter</v>
      </c>
      <c r="K460" s="231" t="str">
        <f t="shared" si="15"/>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4"/>
        <v>TinINDONESIAN STATE TIN CORPORATION MENTOK SMELTER</v>
      </c>
      <c r="K461" s="231" t="str">
        <f t="shared" si="15"/>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4"/>
        <v>TinIndra Eramulti Logam</v>
      </c>
      <c r="K462" s="231" t="str">
        <f t="shared" si="15"/>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4"/>
        <v>TinJiangxi Nanshan</v>
      </c>
      <c r="K463" s="231" t="str">
        <f t="shared" si="15"/>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4"/>
        <v>TinJiangxi New Nanshan Technology Ltd.</v>
      </c>
      <c r="K464" s="231" t="str">
        <f t="shared" si="15"/>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4"/>
        <v>TinKai Union Industry and Trade Co., Ltd. (China)</v>
      </c>
      <c r="K465" s="231" t="str">
        <f t="shared" si="15"/>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4"/>
        <v>TinKai Unita Trade Limited Liability Company</v>
      </c>
      <c r="K466" s="231" t="str">
        <f t="shared" si="15"/>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4"/>
        <v>TinKaimeng (Gejiu) Industry and Trade Co., Ltd.</v>
      </c>
      <c r="K467" s="231" t="str">
        <f t="shared" si="15"/>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4"/>
        <v>TinKundur Smelter</v>
      </c>
      <c r="K468" s="231" t="str">
        <f t="shared" si="15"/>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4"/>
        <v>TinLiuzhhou China Tin</v>
      </c>
      <c r="K469" s="231" t="str">
        <f t="shared" si="15"/>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4"/>
        <v>TinLongnan Chuangyue Environmental Protection Technology Development Co., Ltd</v>
      </c>
      <c r="K470" s="231" t="str">
        <f t="shared" si="15"/>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4"/>
        <v>TinLuna Smelter, Ltd.</v>
      </c>
      <c r="K471" s="231" t="str">
        <f t="shared" si="15"/>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4"/>
        <v>TinMa'anshan Weitai Tin Co., Ltd.</v>
      </c>
      <c r="K472" s="231" t="str">
        <f t="shared" si="15"/>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4"/>
        <v>TinMagnu's Minerais Metais e Ligas Ltda.</v>
      </c>
      <c r="K473" s="231" t="str">
        <f t="shared" si="15"/>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4"/>
        <v>TinMalaysia Smelting Corporation (MSC)</v>
      </c>
      <c r="K474" s="231" t="str">
        <f t="shared" si="15"/>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4"/>
        <v>TinMalaysia Smelting Corporation Berhad (Port Klang)</v>
      </c>
      <c r="K475" s="231" t="str">
        <f t="shared" si="15"/>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4"/>
        <v>TinMelt Metais e Ligas S.A.</v>
      </c>
      <c r="K476" s="231" t="str">
        <f t="shared" si="15"/>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4"/>
        <v>TinMentok Smelter</v>
      </c>
      <c r="K477" s="231" t="str">
        <f t="shared" si="15"/>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4"/>
        <v>TinMetallic Materials Branch of Guangxi China Tin Group Co.,Ltd.</v>
      </c>
      <c r="K478" s="231" t="str">
        <f t="shared" si="15"/>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4"/>
        <v>TinMetallic Resources, Inc.</v>
      </c>
      <c r="K479" s="231" t="str">
        <f t="shared" si="15"/>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4"/>
        <v>TinMetallo Belgium N.V.</v>
      </c>
      <c r="K480" s="231" t="str">
        <f t="shared" si="15"/>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4"/>
        <v>TinMetallo Spain S.L.U.</v>
      </c>
      <c r="K481" s="231" t="str">
        <f t="shared" si="15"/>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4"/>
        <v>TinMineracao Taboca S.A.</v>
      </c>
      <c r="K482" s="231" t="str">
        <f t="shared" si="15"/>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4"/>
        <v>TinMineração Taboca S.A.</v>
      </c>
      <c r="K483" s="231" t="str">
        <f t="shared" si="15"/>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4"/>
        <v>TinMineracao Taboca SA</v>
      </c>
      <c r="K484" s="231" t="str">
        <f t="shared" si="15"/>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4"/>
        <v>TinMining and processing tin-tungsten ore Giang Son - VQB Co., Ltd.</v>
      </c>
      <c r="K485" s="231" t="str">
        <f t="shared" si="15"/>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4"/>
        <v>TinMining Minerals Resources SARL</v>
      </c>
      <c r="K486" s="231" t="str">
        <f t="shared" si="15"/>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4"/>
        <v>TinMinsur</v>
      </c>
      <c r="K487" s="231" t="str">
        <f t="shared" si="15"/>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4"/>
        <v>TinMitsubishi Materials Corporation</v>
      </c>
      <c r="K488" s="231" t="str">
        <f t="shared" si="15"/>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4"/>
        <v>TinModeltech Sdn Bhd</v>
      </c>
      <c r="K489" s="231" t="str">
        <f t="shared" si="15"/>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4"/>
        <v>TinMSC</v>
      </c>
      <c r="K490" s="231" t="str">
        <f t="shared" si="15"/>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4"/>
        <v>TinNankang Nanshan Tin Manufactory Co., Ltd.</v>
      </c>
      <c r="K491" s="231" t="str">
        <f t="shared" si="15"/>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4"/>
        <v>TinNanshan Tin Co. Ltd.</v>
      </c>
      <c r="K492" s="231" t="str">
        <f t="shared" si="15"/>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4"/>
        <v>TinNghe Tinh Non-Ferrous Metals Joint Stock Company</v>
      </c>
      <c r="K493" s="231" t="str">
        <f t="shared" si="15"/>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4"/>
        <v>TinNovosibirsk Processing Plant Ltd.</v>
      </c>
      <c r="K494" s="231" t="str">
        <f t="shared" si="15"/>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4"/>
        <v>TinNovosibirsk Tin Combine</v>
      </c>
      <c r="K495" s="231" t="str">
        <f t="shared" si="15"/>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4"/>
        <v>TinO.M. Manufacturing (Thailand) Co., Ltd.</v>
      </c>
      <c r="K496" s="231" t="str">
        <f t="shared" si="15"/>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4"/>
        <v>TinO.M. Manufacturing Philippines, Inc.</v>
      </c>
      <c r="K497" s="231" t="str">
        <f t="shared" si="15"/>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4"/>
        <v>TinOMSA</v>
      </c>
      <c r="K498" s="231" t="str">
        <f t="shared" si="15"/>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4"/>
        <v>TinOperaciones Metalurgicas S.A.</v>
      </c>
      <c r="K499" s="231" t="str">
        <f t="shared" si="15"/>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4"/>
        <v>TinOperaciones Metalúrgicas S.A.</v>
      </c>
      <c r="K500" s="231" t="str">
        <f t="shared" si="15"/>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4"/>
        <v>TinPongpipat Company Limited</v>
      </c>
      <c r="K501" s="231" t="str">
        <f t="shared" si="15"/>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4"/>
        <v>TinPrecious Minerals and Smelting Limited</v>
      </c>
      <c r="K502" s="231" t="str">
        <f t="shared" si="15"/>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4"/>
        <v>TinPT Aries Kencana Sejahtera</v>
      </c>
      <c r="K503" s="231" t="str">
        <f t="shared" si="15"/>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4"/>
        <v>TinPT Artha Cipta Langgeng</v>
      </c>
      <c r="K504" s="231" t="str">
        <f t="shared" si="15"/>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4"/>
        <v>TinPT ATD Makmur Mandiri Jaya</v>
      </c>
      <c r="K505" s="231" t="str">
        <f t="shared" si="15"/>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4"/>
        <v>TinPT Babel Inti Perkasa</v>
      </c>
      <c r="K506" s="231" t="str">
        <f t="shared" si="15"/>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4"/>
        <v>TinPT Babel Surya Alam Lestari</v>
      </c>
      <c r="K507" s="231" t="str">
        <f t="shared" si="15"/>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4"/>
        <v>TinPT Bangka Prima Tin</v>
      </c>
      <c r="K508" s="231" t="str">
        <f t="shared" si="15"/>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4"/>
        <v>TinPT Bangka Serumpun</v>
      </c>
      <c r="K509" s="231" t="str">
        <f t="shared" si="15"/>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4"/>
        <v>TinPT Bangka Tin Industry</v>
      </c>
      <c r="K510" s="231" t="str">
        <f t="shared" si="15"/>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4"/>
        <v>TinPT Belitung Industri Sejahtera</v>
      </c>
      <c r="K511" s="231" t="str">
        <f t="shared" si="15"/>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4"/>
        <v>TinPT Bukit Timah</v>
      </c>
      <c r="K512" s="231" t="str">
        <f t="shared" si="15"/>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4"/>
        <v>TinPT Cipta Persada Mulia</v>
      </c>
      <c r="K513" s="231" t="str">
        <f t="shared" si="15"/>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4"/>
        <v>TinPT Indora Ermulti</v>
      </c>
      <c r="K514" s="231" t="str">
        <f t="shared" si="15"/>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4"/>
        <v>TinPT Indra Eramult Logam Industri</v>
      </c>
      <c r="K515" s="231" t="str">
        <f t="shared" si="15"/>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4"/>
        <v>TinPT Menara Cipta Mulia</v>
      </c>
      <c r="K516" s="231" t="str">
        <f t="shared" si="15"/>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4"/>
        <v>TinPT Mitra Graha Raya</v>
      </c>
      <c r="K517" s="231" t="str">
        <f t="shared" si="15"/>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4"/>
        <v>TinPT Mitra Stania Prima</v>
      </c>
      <c r="K518" s="231" t="str">
        <f t="shared" si="15"/>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4"/>
        <v>TinPT Mitra Sukses Globalindo</v>
      </c>
      <c r="K519" s="231" t="str">
        <f t="shared" si="15"/>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4"/>
        <v>TinPT Panca Mega Persada</v>
      </c>
      <c r="K520" s="231" t="str">
        <f t="shared" si="15"/>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4"/>
        <v>TinPT Premium Tin Indonesia</v>
      </c>
      <c r="K521" s="231" t="str">
        <f t="shared" si="15"/>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16">A522&amp;B522</f>
        <v>TinPT Prima Timah Utama</v>
      </c>
      <c r="K522" s="231" t="str">
        <f t="shared" ref="K522:K589" si="17">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16"/>
        <v>TinPT Putera Sarana Shakti (PT PSS)</v>
      </c>
      <c r="K523" s="231" t="str">
        <f t="shared" si="17"/>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16"/>
        <v>TinPT Rajawali Rimba Perkasa</v>
      </c>
      <c r="K524" s="231" t="str">
        <f t="shared" si="17"/>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16"/>
        <v>TinPT Rajehan Ariq</v>
      </c>
      <c r="K525" s="231" t="str">
        <f t="shared" si="17"/>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16"/>
        <v>TinPT Refined Bangka Tin</v>
      </c>
      <c r="K526" s="231" t="str">
        <f t="shared" si="17"/>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16"/>
        <v>TinPT Sariwiguna Binasentosa</v>
      </c>
      <c r="K527" s="231" t="str">
        <f t="shared" si="17"/>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16"/>
        <v>TinPT Stanindo Inti Perkasa</v>
      </c>
      <c r="K528" s="231" t="str">
        <f t="shared" si="17"/>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16"/>
        <v>TinPT Sukses Inti Makmur (SIM)</v>
      </c>
      <c r="K529" s="231" t="str">
        <f t="shared" si="17"/>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16"/>
        <v>TinPT Tambang Timah</v>
      </c>
      <c r="K530" s="231" t="str">
        <f t="shared" si="17"/>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16"/>
        <v>TinPT Timah Nusantara</v>
      </c>
      <c r="K531" s="231" t="str">
        <f t="shared" si="17"/>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16"/>
        <v>TinPT Timah Tbk Kundur</v>
      </c>
      <c r="K532" s="231" t="str">
        <f t="shared" si="17"/>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16"/>
        <v>TinPT Timah Tbk Mentok</v>
      </c>
      <c r="K533" s="231" t="str">
        <f t="shared" si="17"/>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16"/>
        <v>TinPT Tinindo Inter Nusa</v>
      </c>
      <c r="K534" s="231" t="str">
        <f t="shared" si="17"/>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16"/>
        <v>TinPT Tirus Putra Mandiri</v>
      </c>
      <c r="K535" s="231" t="str">
        <f t="shared" si="17"/>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16"/>
        <v>TinPT Tommy Utama</v>
      </c>
      <c r="K536" s="231" t="str">
        <f t="shared" si="17"/>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16"/>
        <v>TinResind Ind e Com Ltda.</v>
      </c>
      <c r="K537" s="231" t="str">
        <f t="shared" si="17"/>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16"/>
        <v>TinResind Industria e Comercio Ltda.</v>
      </c>
      <c r="K538" s="231" t="str">
        <f t="shared" si="17"/>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16"/>
        <v>TinResind Indústria e Comércio Ltda.</v>
      </c>
      <c r="K539" s="231" t="str">
        <f t="shared" si="17"/>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16"/>
        <v>TinRIKAYAA GREENTECH PRIVATE LIMITED</v>
      </c>
      <c r="K540" s="231" t="str">
        <f t="shared" si="17"/>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16"/>
        <v>TinRui Da Hung</v>
      </c>
      <c r="K541" s="231" t="str">
        <f t="shared" si="17"/>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16"/>
        <v>TinSmelting Branch of Yunnan Tin Company Ltd</v>
      </c>
      <c r="K542" s="231" t="str">
        <f t="shared" si="17"/>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16"/>
        <v>TinSuper Ligas</v>
      </c>
      <c r="K543" s="231" t="str">
        <f t="shared" si="17"/>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16"/>
        <v>TinTakehara PVD Materials Plant / PVD Materials Division of MITSUI MINING &amp; SMELTING CO., LTD.</v>
      </c>
      <c r="K544" s="231" t="str">
        <f t="shared" si="17"/>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16"/>
        <v>TinThai Solder Industry Corp., Ltd.</v>
      </c>
      <c r="K545" s="231" t="str">
        <f t="shared" si="17"/>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16"/>
        <v>TinThailand Smelting &amp; Refining Co Ltd</v>
      </c>
      <c r="K546" s="231" t="str">
        <f t="shared" si="17"/>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16"/>
        <v>TinThaisarco</v>
      </c>
      <c r="K547" s="231" t="str">
        <f t="shared" si="17"/>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16"/>
        <v>TinThe Gejiu cloud new colored electrolytic</v>
      </c>
      <c r="K548" s="231" t="str">
        <f t="shared" si="17"/>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16"/>
        <v>TinTin Products Manufacturing Co.LTD. of YTCL</v>
      </c>
      <c r="K549" s="231" t="str">
        <f t="shared" si="17"/>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16"/>
        <v>TinTin Smelting Branch of Yunnan Tin Co., Ltd.</v>
      </c>
      <c r="K550" s="231" t="str">
        <f t="shared" si="17"/>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16"/>
        <v>TinTin Technology &amp; Refining</v>
      </c>
      <c r="K551" s="231" t="str">
        <f t="shared" si="17"/>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16"/>
        <v>TinToboca/ Paranapenema</v>
      </c>
      <c r="K552" s="231" t="str">
        <f t="shared" si="17"/>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16"/>
        <v>TinTuyen Quang Non-Ferrous Metals Joint Stock Company</v>
      </c>
      <c r="K553" s="231" t="str">
        <f t="shared" si="17"/>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16"/>
        <v>TinUnit Timah Kundur PT Tambang</v>
      </c>
      <c r="K554" s="231" t="str">
        <f t="shared" si="17"/>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16"/>
        <v>TinVQB Mineral and Trading Group JSC</v>
      </c>
      <c r="K555" s="231" t="str">
        <f t="shared" si="17"/>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16"/>
        <v>TinWhite Solder Metalurgia e Mineracao Ltda.</v>
      </c>
      <c r="K556" s="231" t="str">
        <f t="shared" si="17"/>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16"/>
        <v>TinWhite Solder Metalurgia e Mineração Ltda.</v>
      </c>
      <c r="K557" s="231" t="str">
        <f t="shared" si="17"/>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16"/>
        <v>TinWhite Solder Metalurgica</v>
      </c>
      <c r="K558" s="231" t="str">
        <f t="shared" si="17"/>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16"/>
        <v>TinYTCL</v>
      </c>
      <c r="K561" s="231" t="str">
        <f t="shared" si="17"/>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16"/>
        <v>TinYunan Gejiu Yunxin Electrolyze Limited</v>
      </c>
      <c r="K562" s="231" t="str">
        <f t="shared" si="17"/>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16"/>
        <v>TinYunnan Adventure Co., Ltd.</v>
      </c>
      <c r="K563" s="231" t="str">
        <f t="shared" si="17"/>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16"/>
        <v>TinYunnan Chengfeng</v>
      </c>
      <c r="K564" s="231" t="str">
        <f t="shared" si="17"/>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16"/>
        <v>TinYunnan Chengfeng Non-ferrous Metals Co., Ltd.</v>
      </c>
      <c r="K565" s="231" t="str">
        <f t="shared" si="17"/>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16"/>
        <v>TinYunNan Gejiu Yunxin Electrolyze Limited</v>
      </c>
      <c r="K566" s="231" t="str">
        <f t="shared" si="17"/>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16"/>
        <v>TinYunnan Gejiu Zili Metallurgy Co. Ltd.</v>
      </c>
      <c r="K567" s="231" t="str">
        <f t="shared" si="17"/>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16"/>
        <v>TinYunnan ride non-ferrous metal co., LTD</v>
      </c>
      <c r="K568" s="231" t="str">
        <f t="shared" si="17"/>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16"/>
        <v>TinYunnan Tin Company Limited</v>
      </c>
      <c r="K569" s="231" t="str">
        <f t="shared" si="17"/>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16"/>
        <v>TinYunnan Tin Company, Ltd.</v>
      </c>
      <c r="K570" s="231" t="str">
        <f t="shared" si="17"/>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16"/>
        <v>TinYunnan wind Nonferrous Metals Co., Ltd.</v>
      </c>
      <c r="K571" s="231" t="str">
        <f t="shared" si="17"/>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16"/>
        <v>TinYunnan Xi YE</v>
      </c>
      <c r="K572" s="231" t="str">
        <f t="shared" si="17"/>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16"/>
        <v>TinYunnan Yunfan Non-ferrous Metals Co., Ltd.</v>
      </c>
      <c r="K573" s="231" t="str">
        <f t="shared" si="17"/>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16"/>
        <v>TinYuntinic Resources</v>
      </c>
      <c r="K574" s="231" t="str">
        <f t="shared" si="17"/>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16"/>
        <v>TinYUNXIN colored electrolysis Company Limited</v>
      </c>
      <c r="K575" s="231" t="str">
        <f t="shared" si="17"/>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16"/>
        <v>Tin云南锡业股份有限公司锡业分公司</v>
      </c>
      <c r="K576" s="231" t="str">
        <f t="shared" si="17"/>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16"/>
        <v>TungstenA.L.M.T. Corp.</v>
      </c>
      <c r="K579" s="231" t="str">
        <f t="shared" si="17"/>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16"/>
        <v>TungstenA.L.M.T. TUNGSTEN Corp.</v>
      </c>
      <c r="K580" s="231" t="str">
        <f t="shared" si="17"/>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16"/>
        <v>TungstenACL Metais Eireli</v>
      </c>
      <c r="K581" s="231" t="str">
        <f t="shared" si="17"/>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16"/>
        <v>TungstenAlbasteel Industria e Comercio de Ligas Para Fundicao Ltd.</v>
      </c>
      <c r="K582" s="231" t="str">
        <f t="shared" si="17"/>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16"/>
        <v>TungstenAllied Material Corporation</v>
      </c>
      <c r="K583" s="231" t="str">
        <f t="shared" si="17"/>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16"/>
        <v>TungstenALMT Corp</v>
      </c>
      <c r="K584" s="231" t="str">
        <f t="shared" si="17"/>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16"/>
        <v>TungstenALMT Sumitomo Group</v>
      </c>
      <c r="K585" s="231" t="str">
        <f t="shared" si="17"/>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16"/>
        <v>TungstenArtek LLC</v>
      </c>
      <c r="K586" s="231" t="str">
        <f t="shared" si="17"/>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16"/>
        <v>TungstenAsia Tungsten Products Vietnam Ltd.</v>
      </c>
      <c r="K587" s="231" t="str">
        <f t="shared" si="17"/>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16"/>
        <v>TungstenATI Metalworking Products</v>
      </c>
      <c r="K588" s="231" t="str">
        <f t="shared" si="17"/>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16"/>
        <v>TungstenATI Tungsten Materials</v>
      </c>
      <c r="K589" s="231" t="str">
        <f t="shared" si="17"/>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18">A590&amp;B590</f>
        <v>TungstenChaozhou Xianglu Tungsten Industry Co., Ltd.</v>
      </c>
      <c r="K590" s="231" t="str">
        <f t="shared" ref="K590:K639" si="19">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18"/>
        <v>TungstenChenzhou Diamond Tungsten Products Co., Ltd.</v>
      </c>
      <c r="K591" s="231" t="str">
        <f t="shared" si="19"/>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18"/>
        <v>TungstenChina Molybdenum Co., Ltd.</v>
      </c>
      <c r="K592" s="231" t="str">
        <f t="shared" si="19"/>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18"/>
        <v>TungstenChina Molybdenum Tungsten Co., Ltd.</v>
      </c>
      <c r="K593" s="231" t="str">
        <f t="shared" si="19"/>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18"/>
        <v>TungstenChina MuYe Tungsten Co,. Ltd.</v>
      </c>
      <c r="K594" s="231" t="str">
        <f t="shared" si="19"/>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18"/>
        <v>TungstenChongyi Zhangyuan Tungsten Co., Ltd.</v>
      </c>
      <c r="K595" s="231" t="str">
        <f t="shared" si="19"/>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18"/>
        <v>TungstenCNMC (Guangxi) PGMA Co., Ltd.</v>
      </c>
      <c r="K596" s="231" t="str">
        <f t="shared" si="19"/>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18"/>
        <v>TungstenCronimet Brasil Ltda</v>
      </c>
      <c r="K597" s="231" t="str">
        <f t="shared" si="19"/>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18"/>
        <v>TungstenDONGKUK INDUSTRIES CO., LTD.</v>
      </c>
      <c r="K598" s="231" t="str">
        <f t="shared" si="19"/>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18"/>
        <v>TungstenFujian Xinlu Tungsten</v>
      </c>
      <c r="K599" s="231" t="str">
        <f t="shared" si="19"/>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18"/>
        <v>TungstenFujian Xinlu Tungsten Co., Ltd.</v>
      </c>
      <c r="K600" s="231" t="str">
        <f t="shared" si="19"/>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18"/>
        <v>TungstenGanzhou Jiangwu Ferrotungsten Co., Ltd.</v>
      </c>
      <c r="K601" s="231" t="str">
        <f t="shared" si="19"/>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18"/>
        <v>TungstenGanzhou Seadragon W &amp; Mo Co., Ltd.</v>
      </c>
      <c r="K602" s="231" t="str">
        <f t="shared" si="19"/>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18"/>
        <v>TungstenGEM Co., Ltd.</v>
      </c>
      <c r="K603" s="231" t="str">
        <f t="shared" si="19"/>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18"/>
        <v>TungstenGlobal Tungsten &amp; Powders LLC</v>
      </c>
      <c r="K604" s="231" t="str">
        <f t="shared" si="19"/>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18"/>
        <v>TungstenGTP</v>
      </c>
      <c r="K605" s="231" t="str">
        <f t="shared" si="19"/>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18"/>
        <v>TungstenGuangdong Xianglu Tungsten Co., Ltd.</v>
      </c>
      <c r="K606" s="231" t="str">
        <f t="shared" si="19"/>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18"/>
        <v>TungstenH.C. Starck Smelting GmbH &amp; Co. KG</v>
      </c>
      <c r="K607" s="231" t="str">
        <f t="shared" si="19"/>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18"/>
        <v>TungstenH.C. Starck Tungsten GmbH</v>
      </c>
      <c r="K608" s="231" t="str">
        <f t="shared" si="19"/>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18"/>
        <v>TungstenHan River Pelican State Alloy Co., Ltd.</v>
      </c>
      <c r="K609" s="231" t="str">
        <f t="shared" si="19"/>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18"/>
        <v>TungstenHANNAE FOR T Co., Ltd.</v>
      </c>
      <c r="K610" s="231" t="str">
        <f t="shared" si="19"/>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18"/>
        <v>TungstenHubei Green Tungsten Co., Ltd.</v>
      </c>
      <c r="K611" s="231" t="str">
        <f t="shared" si="19"/>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18"/>
        <v>TungstenHuman Chun-Chang non-ferrous Smelting &amp; Concentrating Co., Ltd.</v>
      </c>
      <c r="K612" s="231" t="str">
        <f t="shared" si="19"/>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18"/>
        <v>TungstenHunan Chenzhou Mining Co., Ltd.</v>
      </c>
      <c r="K613" s="231" t="str">
        <f t="shared" si="19"/>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18"/>
        <v>TungstenHunan Chenzhou Mining Group Co., Ltd.</v>
      </c>
      <c r="K614" s="231" t="str">
        <f t="shared" si="19"/>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18"/>
        <v>TungstenHunan Chunchang Nonferrous Metals Co., Ltd.</v>
      </c>
      <c r="K615" s="231" t="str">
        <f t="shared" si="19"/>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18"/>
        <v>TungstenHunan Jintai New Material Co., Ltd.</v>
      </c>
      <c r="K616" s="231" t="str">
        <f t="shared" si="19"/>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18"/>
        <v>TungstenHunan Shizhuyuan Nonferrous Metals Co., Ltd. Chenzhou Tungsten Products Branch</v>
      </c>
      <c r="K617" s="231" t="str">
        <f t="shared" si="19"/>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18"/>
        <v>TungstenHydrometallurg, JSC</v>
      </c>
      <c r="K618" s="231" t="str">
        <f t="shared" si="19"/>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18"/>
        <v>TungstenJapan New Metals Co., Ltd.</v>
      </c>
      <c r="K619" s="231" t="str">
        <f t="shared" si="19"/>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18"/>
        <v>TungstenJiangwu H.C. Starck Tungsten Products Co., Ltd.</v>
      </c>
      <c r="K620" s="231" t="str">
        <f t="shared" si="19"/>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18"/>
        <v>TungstenJiangxi Gan Bei Tungsten Co., Ltd.</v>
      </c>
      <c r="K621" s="231" t="str">
        <f t="shared" si="19"/>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18"/>
        <v>TungstenJiangxi Minmetals Gao'an Non-ferrous Metals Co., Ltd.</v>
      </c>
      <c r="K622" s="231" t="str">
        <f t="shared" si="19"/>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18"/>
        <v>TungstenJiangxi Tonggu Non-ferrous Metallurgical &amp; Chemical Co., Ltd.</v>
      </c>
      <c r="K623" s="231" t="str">
        <f t="shared" si="19"/>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18"/>
        <v>TungstenJiangxi Xinsheng Tungsten Industry Co., Ltd.</v>
      </c>
      <c r="K624" s="231" t="str">
        <f t="shared" si="19"/>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18"/>
        <v>TungstenJiangxi Yaosheng Tungsten Co., Ltd.</v>
      </c>
      <c r="K625" s="231" t="str">
        <f t="shared" si="19"/>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18"/>
        <v>TungstenJingmen Dewei GEM Tungsten Resources Recycling Co., Ltd.</v>
      </c>
      <c r="K626" s="231" t="str">
        <f t="shared" si="19"/>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18"/>
        <v>TungstenJSC "Kirovgrad Hard Alloys Plant"</v>
      </c>
      <c r="K627" s="231" t="str">
        <f t="shared" si="19"/>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18"/>
        <v>TungstenKenee Mining Corporation Vietnam</v>
      </c>
      <c r="K628" s="231" t="str">
        <f t="shared" si="19"/>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18"/>
        <v>TungstenKennametal Fallon</v>
      </c>
      <c r="K629" s="231" t="str">
        <f t="shared" si="19"/>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18"/>
        <v>TungstenKennametal Huntsville</v>
      </c>
      <c r="K630" s="231" t="str">
        <f t="shared" si="19"/>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18"/>
        <v>TungstenLianyou Metals Co., Ltd.</v>
      </c>
      <c r="K631" s="231" t="str">
        <f t="shared" si="19"/>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18"/>
        <v>TungstenLianyou Resources Co., Ltd.</v>
      </c>
      <c r="K632" s="231" t="str">
        <f t="shared" si="19"/>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18"/>
        <v>TungstenLLC Vostok</v>
      </c>
      <c r="K633" s="231" t="str">
        <f t="shared" si="19"/>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18"/>
        <v>TungstenMALAMET SMELTING SDN. BHD.</v>
      </c>
      <c r="K634" s="231" t="str">
        <f t="shared" si="19"/>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18"/>
        <v>TungstenMalipo Haiyu Tungsten Co., Ltd.</v>
      </c>
      <c r="K635" s="231" t="str">
        <f t="shared" si="19"/>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18"/>
        <v>TungstenMasan High-Tech Materials</v>
      </c>
      <c r="K636" s="231" t="str">
        <f t="shared" si="19"/>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18"/>
        <v>TungstenMasan Tungsten Chemical LLC (MTC)</v>
      </c>
      <c r="K637" s="231" t="str">
        <f t="shared" si="19"/>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18"/>
        <v>TungstenMoliren Ltd.</v>
      </c>
      <c r="K638" s="231" t="str">
        <f t="shared" si="19"/>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18"/>
        <v>TungstenNam Viet Cromit Joint Stock Company</v>
      </c>
      <c r="K639" s="231" t="str">
        <f t="shared" si="19"/>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0">A640&amp;B640</f>
        <v>TungstenNan Viet Ferrochrome Co., Ltd.</v>
      </c>
      <c r="K640" s="231" t="str">
        <f t="shared" ref="K640:K645" si="21">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0"/>
        <v>TungstenNiagara Refining LLC</v>
      </c>
      <c r="K641" s="231" t="str">
        <f t="shared" si="21"/>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0"/>
        <v>TungstenNPP Tyazhmetprom LLC</v>
      </c>
      <c r="K642" s="231" t="str">
        <f t="shared" si="21"/>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0"/>
        <v>TungstenNui Phao H.C. Starck Tungsten Chemicals Manufacturing LLC</v>
      </c>
      <c r="K643" s="231" t="str">
        <f t="shared" si="21"/>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0"/>
        <v>TungstenOOO “Technolom” 1</v>
      </c>
      <c r="K644" s="231" t="str">
        <f t="shared" si="21"/>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0"/>
        <v>TungstenOOO “Technolom” 2</v>
      </c>
      <c r="K645" s="231" t="str">
        <f t="shared" si="21"/>
        <v>TungstenOOO “Technolom” 2</v>
      </c>
    </row>
    <row r="646" spans="1:11">
      <c r="A646" s="189" t="s">
        <v>1122</v>
      </c>
      <c r="B646" s="189" t="s">
        <v>15840</v>
      </c>
      <c r="C646" s="189" t="s">
        <v>15840</v>
      </c>
      <c r="D646" s="189" t="s">
        <v>871</v>
      </c>
      <c r="E646" s="189" t="s">
        <v>15841</v>
      </c>
      <c r="H646" s="189" t="s">
        <v>15850</v>
      </c>
      <c r="I646" s="189" t="s">
        <v>9206</v>
      </c>
      <c r="J646" s="231" t="str">
        <f t="shared" ref="J646:J664" si="22">A646&amp;B646</f>
        <v>TungstenPhilippine Bonway Manufacturing Industrial Corporation</v>
      </c>
      <c r="K646" s="231" t="str">
        <f t="shared" ref="K646:K664" si="23">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2"/>
        <v>TungstenPhilippine Carreytech Metal Corp.</v>
      </c>
      <c r="K647" s="231" t="str">
        <f t="shared" si="23"/>
        <v>TungstenPhilippine Carreytech Metal Corp.</v>
      </c>
    </row>
    <row r="648" spans="1:11">
      <c r="A648" s="189" t="s">
        <v>1122</v>
      </c>
      <c r="B648" s="189" t="s">
        <v>2326</v>
      </c>
      <c r="C648" s="189" t="s">
        <v>2326</v>
      </c>
      <c r="D648" s="189" t="s">
        <v>871</v>
      </c>
      <c r="E648" s="189" t="s">
        <v>2256</v>
      </c>
      <c r="H648" s="189" t="s">
        <v>2257</v>
      </c>
      <c r="I648" s="189" t="s">
        <v>2258</v>
      </c>
      <c r="J648" s="231" t="str">
        <f t="shared" si="22"/>
        <v>TungstenPhilippine Chuangxin Industrial Co., Inc.</v>
      </c>
      <c r="K648" s="231" t="str">
        <f t="shared" si="23"/>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2"/>
        <v>TungstenShinwon Tungsten (Fujian Shanghang) Co., Ltd.</v>
      </c>
      <c r="K649" s="231" t="str">
        <f t="shared" si="23"/>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2"/>
        <v>TungstenTANIOBIS Smelting GmbH &amp; Co. KG</v>
      </c>
      <c r="K650" s="231" t="str">
        <f t="shared" si="23"/>
        <v>TungstenTANIOBIS Smelting GmbH &amp; Co. KG</v>
      </c>
    </row>
    <row r="651" spans="1:11">
      <c r="A651" s="189" t="s">
        <v>1122</v>
      </c>
      <c r="B651" s="189" t="s">
        <v>15523</v>
      </c>
      <c r="C651" s="189" t="s">
        <v>15523</v>
      </c>
      <c r="D651" s="189" t="s">
        <v>882</v>
      </c>
      <c r="E651" s="189" t="s">
        <v>15524</v>
      </c>
      <c r="H651" s="189" t="s">
        <v>15526</v>
      </c>
      <c r="I651" s="189" t="s">
        <v>12112</v>
      </c>
      <c r="J651" s="231" t="str">
        <f t="shared" si="22"/>
        <v>TungstenTungsten Vietnam Joint Stock Company</v>
      </c>
      <c r="K651" s="231" t="str">
        <f t="shared" si="23"/>
        <v>TungstenTungsten Vietnam Joint Stock Company</v>
      </c>
    </row>
    <row r="652" spans="1:11">
      <c r="A652" s="189" t="s">
        <v>1122</v>
      </c>
      <c r="B652" s="189" t="s">
        <v>2430</v>
      </c>
      <c r="C652" s="189" t="s">
        <v>2430</v>
      </c>
      <c r="D652" s="189" t="s">
        <v>873</v>
      </c>
      <c r="E652" s="189" t="s">
        <v>2431</v>
      </c>
      <c r="H652" s="189" t="s">
        <v>2520</v>
      </c>
      <c r="I652" s="189" t="s">
        <v>9924</v>
      </c>
      <c r="J652" s="231" t="str">
        <f t="shared" si="22"/>
        <v>TungstenUnecha Refractory metals plant</v>
      </c>
      <c r="K652" s="231" t="str">
        <f t="shared" si="23"/>
        <v>TungstenUnecha Refractory metals plant</v>
      </c>
    </row>
    <row r="653" spans="1:11">
      <c r="A653" s="189" t="s">
        <v>1122</v>
      </c>
      <c r="B653" s="189" t="s">
        <v>1816</v>
      </c>
      <c r="C653" s="189" t="s">
        <v>2521</v>
      </c>
      <c r="D653" s="189" t="s">
        <v>1084</v>
      </c>
      <c r="E653" s="189" t="s">
        <v>792</v>
      </c>
      <c r="H653" s="189" t="s">
        <v>1814</v>
      </c>
      <c r="I653" s="189" t="s">
        <v>2792</v>
      </c>
      <c r="J653" s="231" t="str">
        <f t="shared" si="22"/>
        <v>TungstenWBH</v>
      </c>
      <c r="K653" s="231" t="str">
        <f t="shared" si="23"/>
        <v>TungstenWBH</v>
      </c>
    </row>
    <row r="654" spans="1:11">
      <c r="A654" s="189" t="s">
        <v>1122</v>
      </c>
      <c r="B654" s="189" t="s">
        <v>1815</v>
      </c>
      <c r="C654" s="189" t="s">
        <v>2521</v>
      </c>
      <c r="D654" s="189" t="s">
        <v>1084</v>
      </c>
      <c r="E654" s="189" t="s">
        <v>792</v>
      </c>
      <c r="H654" s="189" t="s">
        <v>1814</v>
      </c>
      <c r="I654" s="189" t="s">
        <v>2792</v>
      </c>
      <c r="J654" s="231" t="str">
        <f t="shared" si="22"/>
        <v>TungstenWBH,Wolfram [Austria]</v>
      </c>
      <c r="K654" s="231" t="str">
        <f t="shared" si="23"/>
        <v>TungstenWBH,Wolfram [Austria]</v>
      </c>
    </row>
    <row r="655" spans="1:11">
      <c r="A655" s="189" t="s">
        <v>1122</v>
      </c>
      <c r="B655" s="189" t="s">
        <v>2521</v>
      </c>
      <c r="C655" s="189" t="s">
        <v>2521</v>
      </c>
      <c r="D655" s="189" t="s">
        <v>1084</v>
      </c>
      <c r="E655" s="189" t="s">
        <v>792</v>
      </c>
      <c r="H655" s="189" t="s">
        <v>1814</v>
      </c>
      <c r="I655" s="189" t="s">
        <v>2792</v>
      </c>
      <c r="J655" s="231" t="str">
        <f t="shared" si="22"/>
        <v>TungstenWolfram Bergbau und Hutten AG</v>
      </c>
      <c r="K655" s="231" t="str">
        <f t="shared" si="23"/>
        <v>TungstenWolfram Bergbau und Hutten AG</v>
      </c>
    </row>
    <row r="656" spans="1:11">
      <c r="A656" s="189" t="s">
        <v>1122</v>
      </c>
      <c r="B656" s="189" t="s">
        <v>893</v>
      </c>
      <c r="C656" s="189" t="s">
        <v>2521</v>
      </c>
      <c r="D656" s="189" t="s">
        <v>1084</v>
      </c>
      <c r="E656" s="189" t="s">
        <v>792</v>
      </c>
      <c r="H656" s="189" t="s">
        <v>1814</v>
      </c>
      <c r="I656" s="189" t="s">
        <v>2792</v>
      </c>
      <c r="J656" s="231" t="str">
        <f t="shared" si="22"/>
        <v>TungstenWolfram Bergbau und Hütten AG</v>
      </c>
      <c r="K656" s="231" t="str">
        <f t="shared" si="23"/>
        <v>TungstenWolfram Bergbau und Hütten AG</v>
      </c>
    </row>
    <row r="657" spans="1:11">
      <c r="A657" s="189" t="s">
        <v>1122</v>
      </c>
      <c r="B657" s="189" t="s">
        <v>1820</v>
      </c>
      <c r="C657" s="189" t="s">
        <v>152</v>
      </c>
      <c r="D657" s="189" t="s">
        <v>1090</v>
      </c>
      <c r="E657" s="189" t="s">
        <v>142</v>
      </c>
      <c r="H657" s="189" t="s">
        <v>1817</v>
      </c>
      <c r="I657" s="189" t="s">
        <v>13595</v>
      </c>
      <c r="J657" s="231" t="str">
        <f t="shared" si="22"/>
        <v>TungstenXiamen H.C.</v>
      </c>
      <c r="K657" s="231" t="str">
        <f t="shared" si="23"/>
        <v>TungstenXiamen H.C.</v>
      </c>
    </row>
    <row r="658" spans="1:11">
      <c r="A658" s="189" t="s">
        <v>1122</v>
      </c>
      <c r="B658" s="189" t="s">
        <v>152</v>
      </c>
      <c r="C658" s="189" t="s">
        <v>152</v>
      </c>
      <c r="D658" s="189" t="s">
        <v>1090</v>
      </c>
      <c r="E658" s="189" t="s">
        <v>142</v>
      </c>
      <c r="H658" s="189" t="s">
        <v>1817</v>
      </c>
      <c r="I658" s="189" t="s">
        <v>13595</v>
      </c>
      <c r="J658" s="231" t="str">
        <f t="shared" si="22"/>
        <v>TungstenXiamen Tungsten (H.C.) Co., Ltd.</v>
      </c>
      <c r="K658" s="231" t="str">
        <f t="shared" si="23"/>
        <v>TungstenXiamen Tungsten (H.C.) Co., Ltd.</v>
      </c>
    </row>
    <row r="659" spans="1:11">
      <c r="A659" s="189" t="s">
        <v>1122</v>
      </c>
      <c r="B659" s="189" t="s">
        <v>1371</v>
      </c>
      <c r="C659" s="189" t="s">
        <v>1371</v>
      </c>
      <c r="D659" s="189" t="s">
        <v>1090</v>
      </c>
      <c r="E659" s="189" t="s">
        <v>793</v>
      </c>
      <c r="H659" s="189" t="s">
        <v>1817</v>
      </c>
      <c r="I659" s="189" t="s">
        <v>13595</v>
      </c>
      <c r="J659" s="231" t="str">
        <f t="shared" si="22"/>
        <v>TungstenXiamen Tungsten Co., Ltd.</v>
      </c>
      <c r="K659" s="231" t="str">
        <f t="shared" si="23"/>
        <v>TungstenXiamen Tungsten Co., Ltd.</v>
      </c>
    </row>
    <row r="660" spans="1:11">
      <c r="A660" s="189" t="s">
        <v>1122</v>
      </c>
      <c r="B660" s="189" t="s">
        <v>15473</v>
      </c>
      <c r="C660" s="189" t="s">
        <v>15473</v>
      </c>
      <c r="D660" s="189" t="s">
        <v>1090</v>
      </c>
      <c r="E660" s="189" t="s">
        <v>15474</v>
      </c>
      <c r="H660" s="189" t="s">
        <v>15475</v>
      </c>
      <c r="I660" s="189" t="s">
        <v>13596</v>
      </c>
      <c r="J660" s="231" t="str">
        <f t="shared" si="22"/>
        <v>TungstenYUDU ANSHENG TUNGSTEN CO., LTD.</v>
      </c>
      <c r="K660" s="231" t="str">
        <f t="shared" si="23"/>
        <v>TungstenYUDU ANSHENG TUNGSTEN CO., LTD.</v>
      </c>
    </row>
    <row r="661" spans="1:11">
      <c r="A661" s="189" t="s">
        <v>1122</v>
      </c>
      <c r="B661" s="189" t="s">
        <v>1811</v>
      </c>
      <c r="C661" s="189" t="s">
        <v>1367</v>
      </c>
      <c r="D661" s="189" t="s">
        <v>1090</v>
      </c>
      <c r="E661" s="189" t="s">
        <v>786</v>
      </c>
      <c r="H661" s="189" t="s">
        <v>1759</v>
      </c>
      <c r="I661" s="189" t="s">
        <v>13596</v>
      </c>
      <c r="J661" s="231" t="str">
        <f t="shared" si="22"/>
        <v>TungstenZhangyuan Tungsten Co Ltd</v>
      </c>
      <c r="K661" s="231" t="str">
        <f t="shared" si="23"/>
        <v>TungstenZhangyuan Tungsten Co Ltd</v>
      </c>
    </row>
    <row r="662" spans="1:11">
      <c r="A662" s="189" t="s">
        <v>1122</v>
      </c>
      <c r="B662" s="189" t="s">
        <v>13797</v>
      </c>
      <c r="C662" s="189" t="s">
        <v>15091</v>
      </c>
      <c r="D662" s="189" t="s">
        <v>1090</v>
      </c>
      <c r="E662" s="189" t="s">
        <v>13789</v>
      </c>
      <c r="H662" s="189" t="s">
        <v>1607</v>
      </c>
      <c r="I662" s="189" t="s">
        <v>13598</v>
      </c>
      <c r="J662" s="231" t="str">
        <f t="shared" si="22"/>
        <v>Tungsten洛阳栾川钼业集团钨业有限公司</v>
      </c>
      <c r="K662" s="231" t="str">
        <f t="shared" si="23"/>
        <v>Tungsten洛阳栾川钼业集团钨业有限公司</v>
      </c>
    </row>
    <row r="663" spans="1:11">
      <c r="A663" s="189" t="s">
        <v>1122</v>
      </c>
      <c r="B663" s="189" t="s">
        <v>1834</v>
      </c>
      <c r="J663" s="231" t="str">
        <f t="shared" si="22"/>
        <v>TungstenSmelter not listed</v>
      </c>
      <c r="K663" s="231" t="str">
        <f t="shared" si="23"/>
        <v>TungstenSmelter not listed</v>
      </c>
    </row>
    <row r="664" spans="1:11">
      <c r="A664" s="189" t="s">
        <v>1122</v>
      </c>
      <c r="B664" s="189" t="s">
        <v>1312</v>
      </c>
      <c r="C664" s="189" t="s">
        <v>486</v>
      </c>
      <c r="D664" s="189" t="s">
        <v>486</v>
      </c>
      <c r="J664" s="231" t="str">
        <f t="shared" si="22"/>
        <v>TungstenSmelter not yet identified</v>
      </c>
      <c r="K664" s="231"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0">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0"/>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0"/>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0"/>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0"/>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0"/>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0"/>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0"/>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0"/>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0"/>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0"/>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0"/>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0"/>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0"/>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0"/>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0"/>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0"/>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0"/>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0"/>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0"/>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0"/>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0"/>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0"/>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0"/>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1">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1"/>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1"/>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1"/>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1"/>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1"/>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1"/>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1"/>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1"/>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1"/>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1"/>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1"/>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1"/>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1"/>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1"/>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1"/>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1"/>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1"/>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1"/>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2">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2"/>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2"/>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2"/>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2"/>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2"/>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2"/>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2"/>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2"/>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2"/>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2"/>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2"/>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2"/>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2"/>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2"/>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2"/>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2"/>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2"/>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2"/>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2"/>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2"/>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2"/>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2"/>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2"/>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2"/>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2"/>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A81" si="3">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 t="shared" si="3"/>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 t="shared" si="3"/>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 t="shared" si="3"/>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 t="shared" si="3"/>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 t="shared" si="3"/>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si="3"/>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4">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4"/>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4"/>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4"/>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4"/>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4"/>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4"/>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4"/>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4"/>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4"/>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4"/>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4"/>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4"/>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4"/>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4"/>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4"/>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4"/>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4"/>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4"/>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4"/>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4"/>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4"/>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4"/>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5">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5"/>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5"/>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5"/>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5"/>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5"/>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5"/>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5"/>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5"/>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5"/>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5"/>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5"/>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5"/>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5"/>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5"/>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5"/>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5"/>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5"/>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5"/>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5"/>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5"/>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5"/>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5"/>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5"/>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5"/>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5"/>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5"/>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5"/>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5"/>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5"/>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5"/>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5"/>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6">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6"/>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6"/>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6"/>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6"/>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6"/>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6"/>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6"/>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6"/>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6"/>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6"/>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6"/>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6"/>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6"/>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6"/>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6"/>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6"/>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6"/>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6"/>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6"/>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6"/>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6"/>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6"/>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6"/>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6"/>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6"/>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6"/>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6"/>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6"/>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6"/>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6"/>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7">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7"/>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7"/>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7"/>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7"/>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7"/>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7"/>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7"/>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7"/>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7"/>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7"/>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7"/>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7"/>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7"/>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7"/>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7"/>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7"/>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7"/>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7"/>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7"/>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7"/>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7"/>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7"/>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7"/>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7"/>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7"/>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7"/>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7"/>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7"/>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7"/>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7"/>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7"/>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7"/>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7"/>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7"/>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7"/>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8">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8"/>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8"/>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8"/>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8"/>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8"/>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8"/>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8"/>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8"/>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8"/>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9">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9"/>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9"/>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9"/>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9"/>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9"/>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9"/>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9"/>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9"/>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9"/>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9"/>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9"/>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9"/>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9"/>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9"/>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9"/>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9"/>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9"/>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9"/>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9"/>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9"/>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9"/>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9"/>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9"/>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9"/>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9"/>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9"/>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9"/>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Leonel Santillan</cp:lastModifiedBy>
  <cp:lastPrinted>2015-04-21T20:47:43Z</cp:lastPrinted>
  <dcterms:created xsi:type="dcterms:W3CDTF">2010-06-21T21:00:23Z</dcterms:created>
  <dcterms:modified xsi:type="dcterms:W3CDTF">2024-05-20T18:13:54Z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